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525" windowHeight="9255" tabRatio="701" activeTab="4"/>
  </bookViews>
  <sheets>
    <sheet name="Spiegazioni" sheetId="21" r:id="rId1"/>
    <sheet name="SPI" sheetId="17" r:id="rId2"/>
    <sheet name="SPO" sheetId="22" r:id="rId3"/>
    <sheet name="Dati" sheetId="30" r:id="rId4"/>
    <sheet name="Modi" sheetId="19" r:id="rId5"/>
    <sheet name="Invil.mod.x" sheetId="24" r:id="rId6"/>
    <sheet name="Invil.mod.y" sheetId="25" r:id="rId7"/>
    <sheet name="Fx+M(Fx)" sheetId="26" r:id="rId8"/>
    <sheet name="Fy+M(Fy)" sheetId="27" r:id="rId9"/>
    <sheet name="Prev.x" sheetId="28" r:id="rId10"/>
    <sheet name="Prev.y" sheetId="29" r:id="rId11"/>
    <sheet name="Elab-Modi" sheetId="20" r:id="rId12"/>
    <sheet name="Elab" sheetId="18" r:id="rId13"/>
    <sheet name="Telai" sheetId="23" r:id="rId14"/>
  </sheets>
  <definedNames>
    <definedName name="_xlnm._FilterDatabase" localSheetId="1" hidden="1">SPI!$A$1:$I$181</definedName>
    <definedName name="_xlnm._FilterDatabase" localSheetId="2" hidden="1">SPO!$D$1:$D$61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4" i="27"/>
  <c r="B64" i="28"/>
  <c r="B64" i="29"/>
  <c r="B64" i="26"/>
  <c r="B64" i="24"/>
  <c r="A43" i="27"/>
  <c r="A43" i="28"/>
  <c r="A43" i="29"/>
  <c r="A43" i="26"/>
  <c r="A43" i="24"/>
  <c r="I1" i="27"/>
  <c r="E1"/>
  <c r="I1" i="28"/>
  <c r="E1"/>
  <c r="I1" i="29"/>
  <c r="E1"/>
  <c r="I1" i="26"/>
  <c r="E1"/>
  <c r="B64" i="25"/>
  <c r="A43"/>
  <c r="I1"/>
  <c r="E1"/>
  <c r="E19" i="18"/>
  <c r="T128"/>
  <c r="S128"/>
  <c r="Q129"/>
  <c r="P129"/>
  <c r="C128"/>
  <c r="D128"/>
  <c r="E128"/>
  <c r="F128"/>
  <c r="G128"/>
  <c r="H128"/>
  <c r="I128"/>
  <c r="J128"/>
  <c r="K128"/>
  <c r="L128"/>
  <c r="M128"/>
  <c r="N128"/>
  <c r="C129"/>
  <c r="D129"/>
  <c r="E129"/>
  <c r="F129"/>
  <c r="G129"/>
  <c r="H129"/>
  <c r="I129"/>
  <c r="J129"/>
  <c r="K129"/>
  <c r="L129"/>
  <c r="M129"/>
  <c r="N129"/>
  <c r="B129"/>
  <c r="B128"/>
  <c r="O19" l="1"/>
  <c r="F1" i="23" l="1"/>
  <c r="W9" s="1"/>
  <c r="X9" s="1"/>
  <c r="K8" i="30"/>
  <c r="K7"/>
  <c r="CC1" i="23"/>
  <c r="C1" s="1"/>
  <c r="CC10" s="1"/>
  <c r="CI21"/>
  <c r="CG9"/>
  <c r="B5" i="30" l="1"/>
  <c r="C5" s="1"/>
  <c r="T9" i="23"/>
  <c r="U9" s="1"/>
  <c r="AJ9"/>
  <c r="AK9" s="1"/>
  <c r="G9"/>
  <c r="H9" s="1"/>
  <c r="BG9"/>
  <c r="BH9" s="1"/>
  <c r="J9"/>
  <c r="K9" s="1"/>
  <c r="BT9"/>
  <c r="BU9" s="1"/>
  <c r="CC11"/>
  <c r="CC12" s="1"/>
  <c r="CC13" s="1"/>
  <c r="BJ9"/>
  <c r="BK9" s="1"/>
  <c r="AW9"/>
  <c r="AX9" s="1"/>
  <c r="BW9"/>
  <c r="BX9" s="1"/>
  <c r="AT9"/>
  <c r="AU9" s="1"/>
  <c r="AG9"/>
  <c r="AH9" s="1"/>
  <c r="CJ9"/>
  <c r="CK9" s="1"/>
  <c r="K5" i="30" l="1"/>
  <c r="L6" s="1"/>
  <c r="CC14" i="23"/>
  <c r="BQ33"/>
  <c r="BD33"/>
  <c r="AQ33"/>
  <c r="AD33"/>
  <c r="Q33"/>
  <c r="BQ60"/>
  <c r="BD60"/>
  <c r="AQ60"/>
  <c r="AD60"/>
  <c r="Q60"/>
  <c r="D60"/>
  <c r="D33"/>
  <c r="B59" i="19"/>
  <c r="C59"/>
  <c r="D59"/>
  <c r="E59"/>
  <c r="F59"/>
  <c r="G59"/>
  <c r="H59"/>
  <c r="I59"/>
  <c r="J59"/>
  <c r="K59"/>
  <c r="L59"/>
  <c r="M59"/>
  <c r="C58"/>
  <c r="D58"/>
  <c r="E58"/>
  <c r="F58"/>
  <c r="G58"/>
  <c r="H58"/>
  <c r="I58"/>
  <c r="J58"/>
  <c r="K58"/>
  <c r="L58"/>
  <c r="M58"/>
  <c r="B58"/>
  <c r="B54"/>
  <c r="N12" i="30"/>
  <c r="M12"/>
  <c r="L12"/>
  <c r="K12"/>
  <c r="J12"/>
  <c r="I12"/>
  <c r="H12"/>
  <c r="G12"/>
  <c r="F12"/>
  <c r="E12"/>
  <c r="C9"/>
  <c r="B2"/>
  <c r="L5" l="1"/>
  <c r="D2"/>
  <c r="A4" i="23"/>
  <c r="C4" s="1"/>
  <c r="C5" s="1"/>
  <c r="C6" s="1"/>
  <c r="CC15"/>
  <c r="B65" i="29"/>
  <c r="A44"/>
  <c r="B65" i="28"/>
  <c r="A44"/>
  <c r="B65" i="27"/>
  <c r="A44"/>
  <c r="B65" i="26"/>
  <c r="A44"/>
  <c r="B65" i="25"/>
  <c r="A44"/>
  <c r="B65" i="24"/>
  <c r="D40" i="26" l="1"/>
  <c r="H40" s="1"/>
  <c r="L40" s="1"/>
  <c r="N4" i="23"/>
  <c r="D40" i="29"/>
  <c r="H40" s="1"/>
  <c r="L40" s="1"/>
  <c r="D40" i="27"/>
  <c r="H40" s="1"/>
  <c r="L40" s="1"/>
  <c r="D40" i="28"/>
  <c r="H40" s="1"/>
  <c r="L40" s="1"/>
  <c r="D40" i="25"/>
  <c r="CA4" i="23"/>
  <c r="CC4" s="1"/>
  <c r="CC5" s="1"/>
  <c r="CC6" s="1"/>
  <c r="D40" i="24"/>
  <c r="B33" i="23"/>
  <c r="B60" s="1"/>
  <c r="CC16"/>
  <c r="P10"/>
  <c r="AC10"/>
  <c r="BC10"/>
  <c r="C10"/>
  <c r="AP10"/>
  <c r="BP10"/>
  <c r="A44" i="24"/>
  <c r="B1" i="20"/>
  <c r="D37" s="1"/>
  <c r="S3" i="19" s="1"/>
  <c r="E5" i="20"/>
  <c r="B51" i="19"/>
  <c r="CB15" i="23" s="1"/>
  <c r="CD15" s="1"/>
  <c r="F5" i="20"/>
  <c r="F38"/>
  <c r="G5"/>
  <c r="H5"/>
  <c r="H37"/>
  <c r="I5"/>
  <c r="J5"/>
  <c r="J37"/>
  <c r="J38"/>
  <c r="K5"/>
  <c r="K37"/>
  <c r="K38"/>
  <c r="L5"/>
  <c r="M5"/>
  <c r="M37"/>
  <c r="N5"/>
  <c r="N37"/>
  <c r="O5"/>
  <c r="O38"/>
  <c r="P5"/>
  <c r="P38"/>
  <c r="Q5"/>
  <c r="R5"/>
  <c r="R37"/>
  <c r="R38"/>
  <c r="S5"/>
  <c r="S37"/>
  <c r="S38"/>
  <c r="T5"/>
  <c r="C38"/>
  <c r="T2" i="19" s="1"/>
  <c r="C37" i="20"/>
  <c r="S2" i="19" s="1"/>
  <c r="U5" i="20"/>
  <c r="U37"/>
  <c r="V5"/>
  <c r="W5"/>
  <c r="W37"/>
  <c r="X5"/>
  <c r="Y5"/>
  <c r="Y37"/>
  <c r="Z5"/>
  <c r="AA5"/>
  <c r="AA37"/>
  <c r="AB5"/>
  <c r="AC5"/>
  <c r="AC37"/>
  <c r="AD5"/>
  <c r="AE5"/>
  <c r="AE37"/>
  <c r="AF5"/>
  <c r="U38"/>
  <c r="V38"/>
  <c r="Z38"/>
  <c r="AA38"/>
  <c r="AC38"/>
  <c r="AD38"/>
  <c r="B97" i="18"/>
  <c r="C97"/>
  <c r="D97"/>
  <c r="N7" i="19"/>
  <c r="N97" i="18" s="1"/>
  <c r="B64"/>
  <c r="B65"/>
  <c r="B66"/>
  <c r="D23"/>
  <c r="B23"/>
  <c r="D22"/>
  <c r="B22"/>
  <c r="A46"/>
  <c r="A47"/>
  <c r="A49"/>
  <c r="A50"/>
  <c r="A52"/>
  <c r="A53"/>
  <c r="A55"/>
  <c r="A56"/>
  <c r="A58"/>
  <c r="A59"/>
  <c r="A37"/>
  <c r="A38"/>
  <c r="A40"/>
  <c r="A41"/>
  <c r="A43"/>
  <c r="A44"/>
  <c r="A34"/>
  <c r="A35"/>
  <c r="C29"/>
  <c r="A5" i="20"/>
  <c r="I43"/>
  <c r="K43"/>
  <c r="M43"/>
  <c r="O43"/>
  <c r="Q43"/>
  <c r="S43"/>
  <c r="U43"/>
  <c r="W43"/>
  <c r="Y43"/>
  <c r="AA43"/>
  <c r="AC43"/>
  <c r="AE43"/>
  <c r="AG43"/>
  <c r="AI43"/>
  <c r="AK43"/>
  <c r="AM43"/>
  <c r="AO43"/>
  <c r="AQ43"/>
  <c r="AS43"/>
  <c r="AU43"/>
  <c r="AW43"/>
  <c r="AY43"/>
  <c r="BA43"/>
  <c r="BC43"/>
  <c r="BE43"/>
  <c r="BG43"/>
  <c r="BI43"/>
  <c r="BK43"/>
  <c r="H43"/>
  <c r="J43"/>
  <c r="L43"/>
  <c r="N43"/>
  <c r="P43"/>
  <c r="R43"/>
  <c r="T43"/>
  <c r="V43"/>
  <c r="X43"/>
  <c r="Z43"/>
  <c r="AB43"/>
  <c r="AD43"/>
  <c r="AF43"/>
  <c r="AH43"/>
  <c r="AJ43"/>
  <c r="AL43"/>
  <c r="AN43"/>
  <c r="AP43"/>
  <c r="AR43"/>
  <c r="AT43"/>
  <c r="AV43"/>
  <c r="AX43"/>
  <c r="AZ43"/>
  <c r="BB43"/>
  <c r="BD43"/>
  <c r="BF43"/>
  <c r="BH43"/>
  <c r="BJ43"/>
  <c r="I23" i="18"/>
  <c r="J23"/>
  <c r="H23"/>
  <c r="D10"/>
  <c r="E8" s="1"/>
  <c r="E10"/>
  <c r="F8" s="1"/>
  <c r="F10"/>
  <c r="G8" s="1"/>
  <c r="G10"/>
  <c r="H8" s="1"/>
  <c r="H10"/>
  <c r="I8" s="1"/>
  <c r="I10"/>
  <c r="J8" s="1"/>
  <c r="J10"/>
  <c r="K8" s="1"/>
  <c r="K10"/>
  <c r="L8" s="1"/>
  <c r="L10"/>
  <c r="M8" s="1"/>
  <c r="M10"/>
  <c r="D11"/>
  <c r="E9" s="1"/>
  <c r="E11"/>
  <c r="F9" s="1"/>
  <c r="F11"/>
  <c r="G9" s="1"/>
  <c r="G11"/>
  <c r="H9" s="1"/>
  <c r="H11"/>
  <c r="I9" s="1"/>
  <c r="I11"/>
  <c r="J9" s="1"/>
  <c r="J11"/>
  <c r="K9" s="1"/>
  <c r="K11"/>
  <c r="L9" s="1"/>
  <c r="L11"/>
  <c r="M9" s="1"/>
  <c r="M11"/>
  <c r="C10"/>
  <c r="D8" s="1"/>
  <c r="C11"/>
  <c r="D9" s="1"/>
  <c r="E3"/>
  <c r="F5" s="1"/>
  <c r="B10"/>
  <c r="C8" s="1"/>
  <c r="B11"/>
  <c r="C9" s="1"/>
  <c r="B9"/>
  <c r="B8"/>
  <c r="C54" i="19"/>
  <c r="F57"/>
  <c r="G57"/>
  <c r="M23" i="18" s="1"/>
  <c r="H57" i="19"/>
  <c r="N23" i="18" s="1"/>
  <c r="I57" i="19"/>
  <c r="O23" i="18" s="1"/>
  <c r="J57" i="19"/>
  <c r="K57"/>
  <c r="Q23" i="18" s="1"/>
  <c r="L57" i="19"/>
  <c r="M57"/>
  <c r="S23" i="18" s="1"/>
  <c r="E57" i="19"/>
  <c r="B1" i="18"/>
  <c r="N36" i="20"/>
  <c r="V36"/>
  <c r="S36"/>
  <c r="J36"/>
  <c r="O36"/>
  <c r="M36"/>
  <c r="AC36"/>
  <c r="K36"/>
  <c r="H36"/>
  <c r="AF36"/>
  <c r="L36"/>
  <c r="T36"/>
  <c r="I36"/>
  <c r="F36"/>
  <c r="W36"/>
  <c r="E36"/>
  <c r="R4" i="19" s="1"/>
  <c r="BD44" i="20"/>
  <c r="BB46"/>
  <c r="AX46"/>
  <c r="AV44"/>
  <c r="AN44"/>
  <c r="AL46"/>
  <c r="AH46"/>
  <c r="AF44"/>
  <c r="X44"/>
  <c r="V46"/>
  <c r="R46"/>
  <c r="P44"/>
  <c r="H44"/>
  <c r="E45"/>
  <c r="BD45"/>
  <c r="BK46"/>
  <c r="BC46"/>
  <c r="BA44"/>
  <c r="AW44"/>
  <c r="AU46"/>
  <c r="AM46"/>
  <c r="AK44"/>
  <c r="AG44"/>
  <c r="AE46"/>
  <c r="W46"/>
  <c r="U44"/>
  <c r="Q44"/>
  <c r="I6" s="1"/>
  <c r="O46"/>
  <c r="E46"/>
  <c r="AZ45"/>
  <c r="BK44"/>
  <c r="BI46"/>
  <c r="BA46"/>
  <c r="AY44"/>
  <c r="AU44"/>
  <c r="AS46"/>
  <c r="AK46"/>
  <c r="AI44"/>
  <c r="AE44"/>
  <c r="AC46"/>
  <c r="U46"/>
  <c r="S44"/>
  <c r="O44"/>
  <c r="M46"/>
  <c r="D46"/>
  <c r="BJ45"/>
  <c r="BB45"/>
  <c r="BC45"/>
  <c r="AJ45"/>
  <c r="AD45"/>
  <c r="S45"/>
  <c r="L46"/>
  <c r="N45"/>
  <c r="B44"/>
  <c r="A47" s="1"/>
  <c r="O45"/>
  <c r="AR45"/>
  <c r="AZ46"/>
  <c r="AX44"/>
  <c r="Z6" s="1"/>
  <c r="AK45"/>
  <c r="AE45"/>
  <c r="J45"/>
  <c r="F46"/>
  <c r="AQ45"/>
  <c r="AH44"/>
  <c r="AF45"/>
  <c r="R44"/>
  <c r="J6" s="1"/>
  <c r="AY45"/>
  <c r="AN45"/>
  <c r="P46"/>
  <c r="N44"/>
  <c r="H8" s="1"/>
  <c r="D45"/>
  <c r="BH46"/>
  <c r="AI45"/>
  <c r="AB46"/>
  <c r="AN46"/>
  <c r="AL44"/>
  <c r="AA45"/>
  <c r="L45"/>
  <c r="BB44"/>
  <c r="AU45"/>
  <c r="AD44"/>
  <c r="P7" s="1"/>
  <c r="X45"/>
  <c r="M45"/>
  <c r="G44"/>
  <c r="Q45"/>
  <c r="K45"/>
  <c r="T45"/>
  <c r="BG45"/>
  <c r="F44"/>
  <c r="D6" s="1"/>
  <c r="AC4"/>
  <c r="S4"/>
  <c r="G4"/>
  <c r="AE4"/>
  <c r="H4"/>
  <c r="Q4"/>
  <c r="AA4"/>
  <c r="J4"/>
  <c r="W4"/>
  <c r="AB4"/>
  <c r="AD4"/>
  <c r="AF4"/>
  <c r="X4"/>
  <c r="Y4"/>
  <c r="L4"/>
  <c r="R6"/>
  <c r="AB6" l="1"/>
  <c r="AA4" i="23"/>
  <c r="H40" i="25"/>
  <c r="H40" i="24"/>
  <c r="O33" i="23"/>
  <c r="O60" s="1"/>
  <c r="P4"/>
  <c r="P5" s="1"/>
  <c r="P6" s="1"/>
  <c r="Z7" i="20"/>
  <c r="K4"/>
  <c r="N4"/>
  <c r="R4"/>
  <c r="Z44"/>
  <c r="R45"/>
  <c r="J7" s="1"/>
  <c r="BD46"/>
  <c r="I45"/>
  <c r="H45"/>
  <c r="BI45"/>
  <c r="AE7" s="1"/>
  <c r="AX45"/>
  <c r="AP45"/>
  <c r="Z45"/>
  <c r="Y45"/>
  <c r="BF45"/>
  <c r="Q46"/>
  <c r="I8" s="1"/>
  <c r="AG46"/>
  <c r="Q8" s="1"/>
  <c r="AW46"/>
  <c r="Y8" s="1"/>
  <c r="AV45"/>
  <c r="S46"/>
  <c r="AI46"/>
  <c r="AY46"/>
  <c r="BH45"/>
  <c r="T44"/>
  <c r="K6" s="1"/>
  <c r="AJ44"/>
  <c r="S7" s="1"/>
  <c r="AZ44"/>
  <c r="AA8" s="1"/>
  <c r="X36"/>
  <c r="AE36"/>
  <c r="U36"/>
  <c r="AD36"/>
  <c r="AB38"/>
  <c r="AF37"/>
  <c r="AB37"/>
  <c r="X37"/>
  <c r="C36"/>
  <c r="R2" i="19" s="1"/>
  <c r="P37" i="20"/>
  <c r="M38"/>
  <c r="G37"/>
  <c r="U4"/>
  <c r="F4"/>
  <c r="U45"/>
  <c r="BK45"/>
  <c r="AS45"/>
  <c r="E44"/>
  <c r="BF44"/>
  <c r="AH45"/>
  <c r="V45"/>
  <c r="L7" s="1"/>
  <c r="X46"/>
  <c r="AL45"/>
  <c r="J44"/>
  <c r="F6" s="1"/>
  <c r="BA45"/>
  <c r="K44"/>
  <c r="AA44"/>
  <c r="AQ44"/>
  <c r="BG44"/>
  <c r="AD8" s="1"/>
  <c r="M44"/>
  <c r="G7" s="1"/>
  <c r="AC44"/>
  <c r="O8" s="1"/>
  <c r="AS44"/>
  <c r="W8" s="1"/>
  <c r="BI44"/>
  <c r="N46"/>
  <c r="AD46"/>
  <c r="AT46"/>
  <c r="BJ46"/>
  <c r="AB36"/>
  <c r="D36"/>
  <c r="R3" i="19" s="1"/>
  <c r="G36" i="20"/>
  <c r="AE38"/>
  <c r="W38"/>
  <c r="Q37"/>
  <c r="N38"/>
  <c r="F7"/>
  <c r="T6"/>
  <c r="R7"/>
  <c r="M4"/>
  <c r="T4"/>
  <c r="V4"/>
  <c r="A6"/>
  <c r="A30" i="18" s="1"/>
  <c r="A64" s="1"/>
  <c r="O4" i="20"/>
  <c r="H46"/>
  <c r="AJ46"/>
  <c r="AM45"/>
  <c r="AT45"/>
  <c r="AW45"/>
  <c r="Y7" s="1"/>
  <c r="AC45"/>
  <c r="AV46"/>
  <c r="V44"/>
  <c r="T46"/>
  <c r="F45"/>
  <c r="AR46"/>
  <c r="I46"/>
  <c r="Y46"/>
  <c r="AO46"/>
  <c r="BE46"/>
  <c r="K46"/>
  <c r="AA46"/>
  <c r="N8" s="1"/>
  <c r="AQ46"/>
  <c r="V8" s="1"/>
  <c r="BG46"/>
  <c r="L44"/>
  <c r="G8" s="1"/>
  <c r="AB44"/>
  <c r="AR44"/>
  <c r="BH44"/>
  <c r="AA36"/>
  <c r="Z36"/>
  <c r="Y36"/>
  <c r="AF38"/>
  <c r="X38"/>
  <c r="AD37"/>
  <c r="Z37"/>
  <c r="V37"/>
  <c r="T37"/>
  <c r="Q38"/>
  <c r="L37"/>
  <c r="I38"/>
  <c r="H7"/>
  <c r="P8"/>
  <c r="Z4"/>
  <c r="P4"/>
  <c r="I4"/>
  <c r="BE45"/>
  <c r="AC7" s="1"/>
  <c r="AB45"/>
  <c r="AF46"/>
  <c r="AG45"/>
  <c r="AO45"/>
  <c r="W45"/>
  <c r="AT44"/>
  <c r="X6" s="1"/>
  <c r="P45"/>
  <c r="BJ44"/>
  <c r="G46"/>
  <c r="AP44"/>
  <c r="V6" s="1"/>
  <c r="G45"/>
  <c r="W44"/>
  <c r="AM44"/>
  <c r="BC44"/>
  <c r="AB7" s="1"/>
  <c r="I44"/>
  <c r="E8" s="1"/>
  <c r="Y44"/>
  <c r="M6" s="1"/>
  <c r="AO44"/>
  <c r="U6" s="1"/>
  <c r="BE44"/>
  <c r="J46"/>
  <c r="Z46"/>
  <c r="AP46"/>
  <c r="BF46"/>
  <c r="R36"/>
  <c r="Q36"/>
  <c r="P36"/>
  <c r="D44"/>
  <c r="Y38"/>
  <c r="T38"/>
  <c r="O37"/>
  <c r="L38"/>
  <c r="T8"/>
  <c r="D7"/>
  <c r="F8"/>
  <c r="J8"/>
  <c r="R8"/>
  <c r="Z8"/>
  <c r="I37"/>
  <c r="H38"/>
  <c r="D8"/>
  <c r="Y6"/>
  <c r="BB47"/>
  <c r="BF47"/>
  <c r="AM47"/>
  <c r="W47"/>
  <c r="C49"/>
  <c r="V47"/>
  <c r="Y47"/>
  <c r="D47"/>
  <c r="BE47"/>
  <c r="K47"/>
  <c r="T47"/>
  <c r="U47"/>
  <c r="N47"/>
  <c r="H47"/>
  <c r="G38"/>
  <c r="F37"/>
  <c r="E38"/>
  <c r="T4" i="19" s="1"/>
  <c r="AE8" i="20"/>
  <c r="CD4" i="23"/>
  <c r="CB9"/>
  <c r="CD9" s="1"/>
  <c r="CB10"/>
  <c r="CD10" s="1"/>
  <c r="CB12"/>
  <c r="CD12" s="1"/>
  <c r="CB13"/>
  <c r="CD13" s="1"/>
  <c r="CB11"/>
  <c r="CD11" s="1"/>
  <c r="CB14"/>
  <c r="CD14" s="1"/>
  <c r="BC11"/>
  <c r="BD11" s="1"/>
  <c r="BJ10"/>
  <c r="BK10" s="1"/>
  <c r="BL9" s="1"/>
  <c r="BG10"/>
  <c r="BH10" s="1"/>
  <c r="BP11"/>
  <c r="BQ11" s="1"/>
  <c r="BW10"/>
  <c r="BX10" s="1"/>
  <c r="BY9" s="1"/>
  <c r="BT10"/>
  <c r="BU10" s="1"/>
  <c r="AC11"/>
  <c r="AJ10"/>
  <c r="AK10" s="1"/>
  <c r="AL9" s="1"/>
  <c r="AG10"/>
  <c r="AH10" s="1"/>
  <c r="AP11"/>
  <c r="AQ11" s="1"/>
  <c r="AW10"/>
  <c r="AX10" s="1"/>
  <c r="AY9" s="1"/>
  <c r="AT10"/>
  <c r="AU10" s="1"/>
  <c r="P11"/>
  <c r="Q11" s="1"/>
  <c r="W10"/>
  <c r="X10" s="1"/>
  <c r="Y9" s="1"/>
  <c r="T10"/>
  <c r="U10" s="1"/>
  <c r="C11"/>
  <c r="G10"/>
  <c r="H10" s="1"/>
  <c r="J10"/>
  <c r="K10" s="1"/>
  <c r="F97" i="18"/>
  <c r="CC17" i="23"/>
  <c r="CB16"/>
  <c r="CD16" s="1"/>
  <c r="B9" i="20"/>
  <c r="B33" i="18" s="1"/>
  <c r="B67" s="1"/>
  <c r="B47" i="20"/>
  <c r="A9" s="1"/>
  <c r="A33" i="18" s="1"/>
  <c r="A67" s="1"/>
  <c r="P47" i="20"/>
  <c r="Z47"/>
  <c r="AK47"/>
  <c r="AJ47"/>
  <c r="AC47"/>
  <c r="S47"/>
  <c r="BC47"/>
  <c r="X47"/>
  <c r="AA47"/>
  <c r="BH47"/>
  <c r="BJ47"/>
  <c r="C47"/>
  <c r="G47"/>
  <c r="M47"/>
  <c r="AO47"/>
  <c r="AY47"/>
  <c r="AP47"/>
  <c r="BG47"/>
  <c r="R47"/>
  <c r="AI47"/>
  <c r="AD47"/>
  <c r="AL47"/>
  <c r="AX47"/>
  <c r="A48"/>
  <c r="AY48" s="1"/>
  <c r="E47"/>
  <c r="I47"/>
  <c r="AV47"/>
  <c r="J47"/>
  <c r="F9" s="1"/>
  <c r="BA47"/>
  <c r="BI47"/>
  <c r="AG47"/>
  <c r="AN47"/>
  <c r="AZ47"/>
  <c r="AB9" s="1"/>
  <c r="AU47"/>
  <c r="W7"/>
  <c r="X7"/>
  <c r="H6"/>
  <c r="P6"/>
  <c r="I7"/>
  <c r="AC6"/>
  <c r="E37"/>
  <c r="S4" i="19" s="1"/>
  <c r="L23" i="18"/>
  <c r="I12"/>
  <c r="J13"/>
  <c r="E12"/>
  <c r="B12"/>
  <c r="H97"/>
  <c r="B25"/>
  <c r="I13"/>
  <c r="D12"/>
  <c r="C13"/>
  <c r="K97"/>
  <c r="C14"/>
  <c r="Q10" i="23"/>
  <c r="R23" i="18"/>
  <c r="L97"/>
  <c r="K12"/>
  <c r="M97"/>
  <c r="E97"/>
  <c r="K23"/>
  <c r="M13"/>
  <c r="B13"/>
  <c r="Q27" i="19"/>
  <c r="S27" s="1"/>
  <c r="BD9" i="23"/>
  <c r="AQ9"/>
  <c r="D4"/>
  <c r="AD10"/>
  <c r="Q9"/>
  <c r="D9"/>
  <c r="BQ9"/>
  <c r="AD9"/>
  <c r="BD10"/>
  <c r="Q4"/>
  <c r="BQ10"/>
  <c r="AD4"/>
  <c r="D10"/>
  <c r="Q31" i="19"/>
  <c r="R31" s="1"/>
  <c r="AQ10" i="23"/>
  <c r="H13" i="18"/>
  <c r="G12"/>
  <c r="M14"/>
  <c r="C12"/>
  <c r="L13"/>
  <c r="K14"/>
  <c r="K13"/>
  <c r="B14"/>
  <c r="F13"/>
  <c r="J14"/>
  <c r="J12"/>
  <c r="L12"/>
  <c r="L14"/>
  <c r="M12"/>
  <c r="B24"/>
  <c r="I5"/>
  <c r="J5"/>
  <c r="G5"/>
  <c r="S25"/>
  <c r="J97"/>
  <c r="D5"/>
  <c r="E5"/>
  <c r="S24"/>
  <c r="Q24"/>
  <c r="L5"/>
  <c r="C5"/>
  <c r="H5"/>
  <c r="Q27"/>
  <c r="K5"/>
  <c r="S26"/>
  <c r="Q26"/>
  <c r="P23"/>
  <c r="M5"/>
  <c r="Q25"/>
  <c r="BE48" i="20"/>
  <c r="BH48"/>
  <c r="AG48"/>
  <c r="AC48"/>
  <c r="AD48"/>
  <c r="BG48"/>
  <c r="L6"/>
  <c r="X8"/>
  <c r="AT47"/>
  <c r="BD47"/>
  <c r="AF47"/>
  <c r="AS47"/>
  <c r="W9" s="1"/>
  <c r="AH47"/>
  <c r="AR47"/>
  <c r="L47"/>
  <c r="Q47"/>
  <c r="BK47"/>
  <c r="AE47"/>
  <c r="AQ47"/>
  <c r="AW47"/>
  <c r="O47"/>
  <c r="AB47"/>
  <c r="F47"/>
  <c r="C48"/>
  <c r="T7"/>
  <c r="Q6"/>
  <c r="Q7"/>
  <c r="N6"/>
  <c r="AE6"/>
  <c r="Q28" i="19"/>
  <c r="Q5"/>
  <c r="Q30"/>
  <c r="C51"/>
  <c r="Q29"/>
  <c r="C2"/>
  <c r="D38" i="20"/>
  <c r="T3" i="19" s="1"/>
  <c r="H14" i="18"/>
  <c r="H12"/>
  <c r="I14"/>
  <c r="S27"/>
  <c r="I97"/>
  <c r="G97"/>
  <c r="D13"/>
  <c r="D14"/>
  <c r="G14"/>
  <c r="G13"/>
  <c r="E13"/>
  <c r="E14"/>
  <c r="F14"/>
  <c r="F12"/>
  <c r="C32" l="1"/>
  <c r="F31" s="1"/>
  <c r="C8" i="20"/>
  <c r="C6"/>
  <c r="C30" i="18" s="1"/>
  <c r="Q31" s="1"/>
  <c r="AN4" i="23"/>
  <c r="L40" i="25"/>
  <c r="L40" i="24"/>
  <c r="AB33" i="23"/>
  <c r="AB60" s="1"/>
  <c r="AC4"/>
  <c r="AC5" s="1"/>
  <c r="AC6" s="1"/>
  <c r="E7" i="20"/>
  <c r="E6"/>
  <c r="K8"/>
  <c r="X9"/>
  <c r="V7"/>
  <c r="K7"/>
  <c r="AA7"/>
  <c r="O6"/>
  <c r="U7"/>
  <c r="M8"/>
  <c r="O7"/>
  <c r="E9"/>
  <c r="G6"/>
  <c r="S8"/>
  <c r="AD7"/>
  <c r="U8"/>
  <c r="C7"/>
  <c r="C31" i="18" s="1"/>
  <c r="C65" s="1"/>
  <c r="N7" i="20"/>
  <c r="S9"/>
  <c r="W6"/>
  <c r="AA6"/>
  <c r="AC8"/>
  <c r="AD6"/>
  <c r="M7"/>
  <c r="AF8"/>
  <c r="AF7"/>
  <c r="AF6"/>
  <c r="S6"/>
  <c r="AF9"/>
  <c r="C9"/>
  <c r="L8"/>
  <c r="AB8"/>
  <c r="R27" i="19"/>
  <c r="L9" i="20"/>
  <c r="M9"/>
  <c r="BD48"/>
  <c r="AD10" s="1"/>
  <c r="U9"/>
  <c r="N9"/>
  <c r="T9"/>
  <c r="V9"/>
  <c r="J48"/>
  <c r="Z48"/>
  <c r="AD9"/>
  <c r="AZ48"/>
  <c r="N48"/>
  <c r="AE9"/>
  <c r="C33" i="18"/>
  <c r="K9" i="20"/>
  <c r="J9"/>
  <c r="Z9"/>
  <c r="CD5" i="23"/>
  <c r="CF4"/>
  <c r="AC9" i="20"/>
  <c r="BI9" i="23"/>
  <c r="T11"/>
  <c r="U11" s="1"/>
  <c r="V10" s="1"/>
  <c r="W11"/>
  <c r="X11" s="1"/>
  <c r="Y10" s="1"/>
  <c r="P12"/>
  <c r="AI9"/>
  <c r="V9"/>
  <c r="AC12"/>
  <c r="AJ11"/>
  <c r="AK11" s="1"/>
  <c r="AL10" s="1"/>
  <c r="AG11"/>
  <c r="AH11" s="1"/>
  <c r="AD11"/>
  <c r="AW11"/>
  <c r="AX11" s="1"/>
  <c r="AY10" s="1"/>
  <c r="AT11"/>
  <c r="AU11" s="1"/>
  <c r="AV10" s="1"/>
  <c r="AP12"/>
  <c r="BV9"/>
  <c r="C12"/>
  <c r="J11"/>
  <c r="K11" s="1"/>
  <c r="G11"/>
  <c r="H11" s="1"/>
  <c r="D11"/>
  <c r="AV9"/>
  <c r="BP12"/>
  <c r="BT11"/>
  <c r="BU11" s="1"/>
  <c r="BV10" s="1"/>
  <c r="BW11"/>
  <c r="BX11" s="1"/>
  <c r="BY10" s="1"/>
  <c r="BC12"/>
  <c r="BJ11"/>
  <c r="BK11" s="1"/>
  <c r="BL10" s="1"/>
  <c r="BG11"/>
  <c r="BH11" s="1"/>
  <c r="BI10" s="1"/>
  <c r="F19" i="18"/>
  <c r="B16"/>
  <c r="CC18" i="23"/>
  <c r="CB17"/>
  <c r="CD17" s="1"/>
  <c r="AR48" i="20"/>
  <c r="Q48"/>
  <c r="AT48"/>
  <c r="G48"/>
  <c r="X48"/>
  <c r="BC48"/>
  <c r="V48"/>
  <c r="A49"/>
  <c r="BI48"/>
  <c r="AK48"/>
  <c r="AE48"/>
  <c r="K48"/>
  <c r="G9"/>
  <c r="AM48"/>
  <c r="AW48"/>
  <c r="BA48"/>
  <c r="F48"/>
  <c r="P48"/>
  <c r="Y9"/>
  <c r="R48"/>
  <c r="AB48"/>
  <c r="U48"/>
  <c r="AH48"/>
  <c r="AQ48"/>
  <c r="L48"/>
  <c r="BF48"/>
  <c r="AU48"/>
  <c r="T48"/>
  <c r="AP48"/>
  <c r="S48"/>
  <c r="Y48"/>
  <c r="M10" s="1"/>
  <c r="AF48"/>
  <c r="AS48"/>
  <c r="W10" s="1"/>
  <c r="B10"/>
  <c r="B34" i="18" s="1"/>
  <c r="B68" s="1"/>
  <c r="W48" i="20"/>
  <c r="E48"/>
  <c r="AA48"/>
  <c r="AL48"/>
  <c r="I48"/>
  <c r="I9"/>
  <c r="O48"/>
  <c r="D48"/>
  <c r="H48"/>
  <c r="F10" s="1"/>
  <c r="AX48"/>
  <c r="BK48"/>
  <c r="AF10" s="1"/>
  <c r="AJ48"/>
  <c r="BB48"/>
  <c r="AC10" s="1"/>
  <c r="M48"/>
  <c r="AN48"/>
  <c r="BJ48"/>
  <c r="AI48"/>
  <c r="AO48"/>
  <c r="AV48"/>
  <c r="AA9"/>
  <c r="C16" i="18"/>
  <c r="S31" i="19"/>
  <c r="R27" i="18"/>
  <c r="R24"/>
  <c r="T31" i="19"/>
  <c r="T27"/>
  <c r="C15" i="18"/>
  <c r="K15"/>
  <c r="M16"/>
  <c r="M15"/>
  <c r="B15"/>
  <c r="AF4" i="23"/>
  <c r="AD5"/>
  <c r="S4"/>
  <c r="Q5"/>
  <c r="D5"/>
  <c r="F4"/>
  <c r="R26" i="18"/>
  <c r="R25"/>
  <c r="K16"/>
  <c r="J16"/>
  <c r="J15"/>
  <c r="L16"/>
  <c r="L15"/>
  <c r="P25"/>
  <c r="P26"/>
  <c r="P24"/>
  <c r="P27"/>
  <c r="H9" i="20"/>
  <c r="R9"/>
  <c r="Q9"/>
  <c r="D9"/>
  <c r="T28" i="19"/>
  <c r="R28"/>
  <c r="S28"/>
  <c r="R5"/>
  <c r="T5"/>
  <c r="S5"/>
  <c r="P9" i="20"/>
  <c r="O9"/>
  <c r="S29" i="19"/>
  <c r="R29"/>
  <c r="T29"/>
  <c r="T30"/>
  <c r="S30"/>
  <c r="R30"/>
  <c r="Q6"/>
  <c r="T10" i="20"/>
  <c r="Z10"/>
  <c r="I16" i="18"/>
  <c r="I15"/>
  <c r="H15"/>
  <c r="H16"/>
  <c r="G15"/>
  <c r="G16"/>
  <c r="E15"/>
  <c r="E16"/>
  <c r="D15"/>
  <c r="D16"/>
  <c r="F16"/>
  <c r="F15"/>
  <c r="N14"/>
  <c r="G30" l="1"/>
  <c r="G64" s="1"/>
  <c r="Q30"/>
  <c r="P30"/>
  <c r="R31"/>
  <c r="C64"/>
  <c r="S65" s="1"/>
  <c r="O31"/>
  <c r="AB10" i="20"/>
  <c r="N31" i="18"/>
  <c r="O30"/>
  <c r="P31"/>
  <c r="Y10" i="20"/>
  <c r="N30" i="18"/>
  <c r="C66"/>
  <c r="R30"/>
  <c r="S10" i="20"/>
  <c r="O10"/>
  <c r="S31" i="18"/>
  <c r="P40" i="24"/>
  <c r="P40" i="25"/>
  <c r="BA4" i="23"/>
  <c r="AO33"/>
  <c r="AO60" s="1"/>
  <c r="AP4"/>
  <c r="AP5" s="1"/>
  <c r="AP6" s="1"/>
  <c r="AQ4"/>
  <c r="S30" i="18"/>
  <c r="G31"/>
  <c r="G65" s="1"/>
  <c r="R33"/>
  <c r="O34"/>
  <c r="Q34"/>
  <c r="Q33"/>
  <c r="N34"/>
  <c r="N33"/>
  <c r="S33"/>
  <c r="P33"/>
  <c r="S34"/>
  <c r="R34"/>
  <c r="P34"/>
  <c r="O33"/>
  <c r="H10" i="20"/>
  <c r="C10"/>
  <c r="G33" i="18"/>
  <c r="G67" s="1"/>
  <c r="C67"/>
  <c r="Q68" s="1"/>
  <c r="G34"/>
  <c r="G68" s="1"/>
  <c r="I10" i="20"/>
  <c r="J10"/>
  <c r="G10"/>
  <c r="AA10"/>
  <c r="R10"/>
  <c r="L10"/>
  <c r="V10"/>
  <c r="K10"/>
  <c r="E10"/>
  <c r="D10"/>
  <c r="CD6" i="23"/>
  <c r="CF6" s="1"/>
  <c r="CE10" s="1"/>
  <c r="CF5"/>
  <c r="P10" i="20"/>
  <c r="Q10"/>
  <c r="AJ12" i="23"/>
  <c r="AK12" s="1"/>
  <c r="AL11" s="1"/>
  <c r="AG12"/>
  <c r="AH12" s="1"/>
  <c r="AC13"/>
  <c r="AD12"/>
  <c r="AT12"/>
  <c r="AU12" s="1"/>
  <c r="AW12"/>
  <c r="AX12" s="1"/>
  <c r="AY11" s="1"/>
  <c r="AP13"/>
  <c r="AQ12"/>
  <c r="AI10"/>
  <c r="BJ12"/>
  <c r="BK12" s="1"/>
  <c r="BL11" s="1"/>
  <c r="BG12"/>
  <c r="BH12" s="1"/>
  <c r="BC13"/>
  <c r="BD12"/>
  <c r="J12"/>
  <c r="K12" s="1"/>
  <c r="G12"/>
  <c r="H12" s="1"/>
  <c r="C13"/>
  <c r="D12"/>
  <c r="BW12"/>
  <c r="BX12" s="1"/>
  <c r="BY11" s="1"/>
  <c r="BT12"/>
  <c r="BU12" s="1"/>
  <c r="BQ12"/>
  <c r="BP13"/>
  <c r="T12"/>
  <c r="U12" s="1"/>
  <c r="W12"/>
  <c r="X12" s="1"/>
  <c r="Y11" s="1"/>
  <c r="P13"/>
  <c r="Q12"/>
  <c r="CC19"/>
  <c r="CB18"/>
  <c r="CD18" s="1"/>
  <c r="Q65" i="18"/>
  <c r="C34"/>
  <c r="C68" s="1"/>
  <c r="X10" i="20"/>
  <c r="AZ49"/>
  <c r="AD49"/>
  <c r="S49"/>
  <c r="K49"/>
  <c r="AW49"/>
  <c r="AU49"/>
  <c r="AJ49"/>
  <c r="AH49"/>
  <c r="BE49"/>
  <c r="BG49"/>
  <c r="AI49"/>
  <c r="AS49"/>
  <c r="P49"/>
  <c r="BB49"/>
  <c r="AF49"/>
  <c r="R11" s="1"/>
  <c r="AE49"/>
  <c r="U49"/>
  <c r="AA49"/>
  <c r="A50"/>
  <c r="AL49"/>
  <c r="M49"/>
  <c r="D49"/>
  <c r="BC49"/>
  <c r="B11"/>
  <c r="B35" i="18" s="1"/>
  <c r="B69" s="1"/>
  <c r="BA49" i="20"/>
  <c r="AQ49"/>
  <c r="H49"/>
  <c r="AM49"/>
  <c r="AC49"/>
  <c r="AT49"/>
  <c r="AX49"/>
  <c r="F49"/>
  <c r="W49"/>
  <c r="AR49"/>
  <c r="E49"/>
  <c r="AP49"/>
  <c r="W11" s="1"/>
  <c r="X49"/>
  <c r="BH49"/>
  <c r="AY49"/>
  <c r="I49"/>
  <c r="G49"/>
  <c r="O49"/>
  <c r="AB49"/>
  <c r="BK49"/>
  <c r="BJ49"/>
  <c r="N49"/>
  <c r="J49"/>
  <c r="L49"/>
  <c r="BD49"/>
  <c r="BI49"/>
  <c r="AG49"/>
  <c r="Z49"/>
  <c r="AV49"/>
  <c r="AO49"/>
  <c r="Q49"/>
  <c r="AN49"/>
  <c r="AK49"/>
  <c r="R49"/>
  <c r="T49"/>
  <c r="BF49"/>
  <c r="V49"/>
  <c r="Y49"/>
  <c r="U10"/>
  <c r="AE10"/>
  <c r="N10"/>
  <c r="Q64" i="18"/>
  <c r="P65"/>
  <c r="AD6" i="23"/>
  <c r="AF6" s="1"/>
  <c r="AF5"/>
  <c r="Q6"/>
  <c r="S6" s="1"/>
  <c r="S5"/>
  <c r="F5"/>
  <c r="D6"/>
  <c r="F6" s="1"/>
  <c r="S6" i="19"/>
  <c r="T6"/>
  <c r="R6"/>
  <c r="Q7"/>
  <c r="N16" i="18"/>
  <c r="B19" s="1"/>
  <c r="N15"/>
  <c r="B18" s="1"/>
  <c r="S64" l="1"/>
  <c r="P64"/>
  <c r="R64"/>
  <c r="R65"/>
  <c r="AS4" i="23"/>
  <c r="AQ5"/>
  <c r="X11" i="20"/>
  <c r="T40" i="25"/>
  <c r="T40" i="24"/>
  <c r="BN4" i="23"/>
  <c r="BB33"/>
  <c r="BB60" s="1"/>
  <c r="BC4"/>
  <c r="BC5" s="1"/>
  <c r="BC6" s="1"/>
  <c r="BD4"/>
  <c r="T11" i="20"/>
  <c r="CE14" i="23"/>
  <c r="CF17"/>
  <c r="P67" i="18"/>
  <c r="P68"/>
  <c r="Q67"/>
  <c r="R67"/>
  <c r="R68"/>
  <c r="S68"/>
  <c r="S67"/>
  <c r="N11" i="20"/>
  <c r="K11"/>
  <c r="Y11"/>
  <c r="P11"/>
  <c r="CE9" i="23"/>
  <c r="CH9" s="1"/>
  <c r="CE16"/>
  <c r="I11" i="20"/>
  <c r="AF11"/>
  <c r="D11"/>
  <c r="AC11"/>
  <c r="Q11"/>
  <c r="CE11" i="23"/>
  <c r="CF10"/>
  <c r="CF9"/>
  <c r="CF11"/>
  <c r="CF12"/>
  <c r="CF13"/>
  <c r="CF14"/>
  <c r="CF15"/>
  <c r="CF16"/>
  <c r="CE13"/>
  <c r="S11" i="20"/>
  <c r="Z11"/>
  <c r="J11"/>
  <c r="CE17" i="23"/>
  <c r="CE15"/>
  <c r="CE12"/>
  <c r="AV11"/>
  <c r="V11"/>
  <c r="BG13"/>
  <c r="BH13" s="1"/>
  <c r="BJ13"/>
  <c r="BK13" s="1"/>
  <c r="BL12" s="1"/>
  <c r="BD13"/>
  <c r="BC14"/>
  <c r="BW13"/>
  <c r="BX13" s="1"/>
  <c r="BY12" s="1"/>
  <c r="BT13"/>
  <c r="BU13" s="1"/>
  <c r="BP14"/>
  <c r="BQ13"/>
  <c r="BI11"/>
  <c r="AW13"/>
  <c r="AX13" s="1"/>
  <c r="AY12" s="1"/>
  <c r="AT13"/>
  <c r="AU13" s="1"/>
  <c r="AP14"/>
  <c r="AQ13"/>
  <c r="AG13"/>
  <c r="AH13" s="1"/>
  <c r="AJ13"/>
  <c r="AK13" s="1"/>
  <c r="AL12" s="1"/>
  <c r="AC14"/>
  <c r="AD13"/>
  <c r="T13"/>
  <c r="U13" s="1"/>
  <c r="W13"/>
  <c r="X13" s="1"/>
  <c r="Y12" s="1"/>
  <c r="P14"/>
  <c r="Q13"/>
  <c r="AI11"/>
  <c r="BV11"/>
  <c r="D13"/>
  <c r="G13"/>
  <c r="H13" s="1"/>
  <c r="J13"/>
  <c r="K13" s="1"/>
  <c r="C14"/>
  <c r="CE18"/>
  <c r="CF18"/>
  <c r="CC20"/>
  <c r="CB19"/>
  <c r="CD19" s="1"/>
  <c r="AD11" i="20"/>
  <c r="AE11"/>
  <c r="V11"/>
  <c r="O11"/>
  <c r="H11"/>
  <c r="E11"/>
  <c r="U11"/>
  <c r="M11"/>
  <c r="L11"/>
  <c r="G11"/>
  <c r="C11"/>
  <c r="AA11"/>
  <c r="F11"/>
  <c r="AB11"/>
  <c r="AH50"/>
  <c r="AA50"/>
  <c r="Q50"/>
  <c r="AJ50"/>
  <c r="AD50"/>
  <c r="BE50"/>
  <c r="AZ50"/>
  <c r="Z50"/>
  <c r="Y50"/>
  <c r="AT50"/>
  <c r="AS50"/>
  <c r="B50"/>
  <c r="A12" s="1"/>
  <c r="A36" i="18" s="1"/>
  <c r="A70" s="1"/>
  <c r="AO50" i="20"/>
  <c r="AI50"/>
  <c r="O50"/>
  <c r="BJ50"/>
  <c r="F50"/>
  <c r="R50"/>
  <c r="K50"/>
  <c r="G50"/>
  <c r="J50"/>
  <c r="AK50"/>
  <c r="BC50"/>
  <c r="AR50"/>
  <c r="U50"/>
  <c r="AN50"/>
  <c r="AC50"/>
  <c r="BK50"/>
  <c r="AQ50"/>
  <c r="AG50"/>
  <c r="W50"/>
  <c r="BA50"/>
  <c r="AM50"/>
  <c r="BD50"/>
  <c r="D50"/>
  <c r="V50"/>
  <c r="M12" s="1"/>
  <c r="C52"/>
  <c r="I50"/>
  <c r="A51"/>
  <c r="AX50"/>
  <c r="BB50"/>
  <c r="BF50"/>
  <c r="S50"/>
  <c r="AL50"/>
  <c r="P50"/>
  <c r="J12" s="1"/>
  <c r="BG50"/>
  <c r="AW50"/>
  <c r="AB50"/>
  <c r="C50"/>
  <c r="AU50"/>
  <c r="M50"/>
  <c r="B12"/>
  <c r="B36" i="18" s="1"/>
  <c r="B70" s="1"/>
  <c r="AE50" i="20"/>
  <c r="AF50"/>
  <c r="AY50"/>
  <c r="AV50"/>
  <c r="AP50"/>
  <c r="C51"/>
  <c r="H50"/>
  <c r="BH50"/>
  <c r="BI50"/>
  <c r="T50"/>
  <c r="L50"/>
  <c r="E50"/>
  <c r="C12" s="1"/>
  <c r="X50"/>
  <c r="N12" s="1"/>
  <c r="N50"/>
  <c r="C19" i="30"/>
  <c r="R7" i="19"/>
  <c r="T7"/>
  <c r="S7"/>
  <c r="Q8"/>
  <c r="N24" i="18"/>
  <c r="I18"/>
  <c r="P128" s="1"/>
  <c r="H24"/>
  <c r="E31"/>
  <c r="O24"/>
  <c r="J24"/>
  <c r="I24"/>
  <c r="L24"/>
  <c r="L18"/>
  <c r="J18"/>
  <c r="Q128" s="1"/>
  <c r="K24"/>
  <c r="M24"/>
  <c r="M18"/>
  <c r="L25"/>
  <c r="D31"/>
  <c r="M19"/>
  <c r="T129" s="1"/>
  <c r="I25"/>
  <c r="O25"/>
  <c r="K25"/>
  <c r="I19"/>
  <c r="N25"/>
  <c r="J25"/>
  <c r="L19"/>
  <c r="S129" s="1"/>
  <c r="H25"/>
  <c r="J19"/>
  <c r="M25"/>
  <c r="BF4" i="23" l="1"/>
  <c r="BD5"/>
  <c r="AS5"/>
  <c r="AQ6"/>
  <c r="AS6" s="1"/>
  <c r="X40" i="25"/>
  <c r="X40" i="24"/>
  <c r="BP4" i="23"/>
  <c r="BP5" s="1"/>
  <c r="BP6" s="1"/>
  <c r="BO33"/>
  <c r="BO60" s="1"/>
  <c r="BQ4"/>
  <c r="AC12" i="20"/>
  <c r="CG18" i="23"/>
  <c r="CH18" s="1"/>
  <c r="CI17" s="1"/>
  <c r="H31" i="18"/>
  <c r="K31"/>
  <c r="M31"/>
  <c r="I31"/>
  <c r="L31"/>
  <c r="J31"/>
  <c r="J30"/>
  <c r="H30"/>
  <c r="M30"/>
  <c r="K30"/>
  <c r="L30"/>
  <c r="I30"/>
  <c r="AI12" i="23"/>
  <c r="U12" i="20"/>
  <c r="D12"/>
  <c r="W12"/>
  <c r="V12"/>
  <c r="K12"/>
  <c r="Y12"/>
  <c r="CG11" i="23"/>
  <c r="CJ11" s="1"/>
  <c r="CK11" s="1"/>
  <c r="H12" i="20"/>
  <c r="F12"/>
  <c r="CG14" i="23"/>
  <c r="CJ14" s="1"/>
  <c r="CK14" s="1"/>
  <c r="CG10"/>
  <c r="CH10" s="1"/>
  <c r="CI9" s="1"/>
  <c r="CG16"/>
  <c r="CH16" s="1"/>
  <c r="CI15" s="1"/>
  <c r="CG12"/>
  <c r="CH12" s="1"/>
  <c r="AF12" i="20"/>
  <c r="Z12"/>
  <c r="AA12"/>
  <c r="E12"/>
  <c r="CG13" i="23"/>
  <c r="X12" i="20"/>
  <c r="O12"/>
  <c r="CG15" i="23"/>
  <c r="CG17"/>
  <c r="BI12"/>
  <c r="V12"/>
  <c r="D14"/>
  <c r="J14"/>
  <c r="K14" s="1"/>
  <c r="G14"/>
  <c r="H14" s="1"/>
  <c r="C15"/>
  <c r="W14"/>
  <c r="X14" s="1"/>
  <c r="Y13" s="1"/>
  <c r="T14"/>
  <c r="U14" s="1"/>
  <c r="V13" s="1"/>
  <c r="P15"/>
  <c r="Q14"/>
  <c r="AJ14"/>
  <c r="AK14" s="1"/>
  <c r="AL13" s="1"/>
  <c r="AG14"/>
  <c r="AH14" s="1"/>
  <c r="AI13" s="1"/>
  <c r="AC15"/>
  <c r="AD14"/>
  <c r="AW14"/>
  <c r="AX14" s="1"/>
  <c r="AY13" s="1"/>
  <c r="AT14"/>
  <c r="AU14" s="1"/>
  <c r="AV13" s="1"/>
  <c r="AP15"/>
  <c r="AQ14"/>
  <c r="BG14"/>
  <c r="BH14" s="1"/>
  <c r="BI13" s="1"/>
  <c r="BJ14"/>
  <c r="BK14" s="1"/>
  <c r="BL13" s="1"/>
  <c r="BC15"/>
  <c r="BD14"/>
  <c r="AV12"/>
  <c r="BT14"/>
  <c r="BU14" s="1"/>
  <c r="BV13" s="1"/>
  <c r="BW14"/>
  <c r="BX14" s="1"/>
  <c r="BY13" s="1"/>
  <c r="BP15"/>
  <c r="BQ14"/>
  <c r="BV12"/>
  <c r="CE19"/>
  <c r="CF19"/>
  <c r="CG19" s="1"/>
  <c r="CC21"/>
  <c r="CB20"/>
  <c r="CD20" s="1"/>
  <c r="CF20" s="1"/>
  <c r="P12" i="20"/>
  <c r="G12"/>
  <c r="C36" i="18"/>
  <c r="Q12" i="20"/>
  <c r="S12"/>
  <c r="AZ51"/>
  <c r="V51"/>
  <c r="H51"/>
  <c r="BA51"/>
  <c r="AE51"/>
  <c r="BE51"/>
  <c r="I51"/>
  <c r="P51"/>
  <c r="W51"/>
  <c r="AQ51"/>
  <c r="AW51"/>
  <c r="BI51"/>
  <c r="AS51"/>
  <c r="BG51"/>
  <c r="D51"/>
  <c r="C13" s="1"/>
  <c r="AC51"/>
  <c r="AB51"/>
  <c r="BC51"/>
  <c r="BD51"/>
  <c r="U51"/>
  <c r="M51"/>
  <c r="B13"/>
  <c r="B37" i="18" s="1"/>
  <c r="B71" s="1"/>
  <c r="AP51" i="20"/>
  <c r="AJ51"/>
  <c r="Q51"/>
  <c r="T51"/>
  <c r="F51"/>
  <c r="AL51"/>
  <c r="N51"/>
  <c r="G51"/>
  <c r="BK51"/>
  <c r="E51"/>
  <c r="L51"/>
  <c r="BH51"/>
  <c r="AO51"/>
  <c r="AG51"/>
  <c r="AM51"/>
  <c r="AA51"/>
  <c r="A52"/>
  <c r="AV51"/>
  <c r="AR51"/>
  <c r="AD51"/>
  <c r="AX51"/>
  <c r="AK51"/>
  <c r="AF51"/>
  <c r="BJ51"/>
  <c r="AT51"/>
  <c r="Y13" s="1"/>
  <c r="AU51"/>
  <c r="J51"/>
  <c r="G13" s="1"/>
  <c r="O51"/>
  <c r="BB51"/>
  <c r="BF51"/>
  <c r="AE13" s="1"/>
  <c r="R51"/>
  <c r="AN51"/>
  <c r="AH51"/>
  <c r="Z51"/>
  <c r="S51"/>
  <c r="AY51"/>
  <c r="Y51"/>
  <c r="K51"/>
  <c r="AI51"/>
  <c r="X51"/>
  <c r="T12"/>
  <c r="C35" i="18"/>
  <c r="I12" i="20"/>
  <c r="L12"/>
  <c r="R12"/>
  <c r="AE12"/>
  <c r="AD12"/>
  <c r="AB12"/>
  <c r="S8" i="19"/>
  <c r="T8"/>
  <c r="R8"/>
  <c r="Q9"/>
  <c r="J27" i="18"/>
  <c r="J26"/>
  <c r="K26"/>
  <c r="K27"/>
  <c r="L26"/>
  <c r="L27"/>
  <c r="O26"/>
  <c r="O27"/>
  <c r="H27"/>
  <c r="H26"/>
  <c r="M27"/>
  <c r="M26"/>
  <c r="I26"/>
  <c r="I27"/>
  <c r="N27"/>
  <c r="N26"/>
  <c r="BD6" i="23" l="1"/>
  <c r="BF6" s="1"/>
  <c r="BF5"/>
  <c r="P13" i="20"/>
  <c r="CH14" i="23"/>
  <c r="CI13" s="1"/>
  <c r="BS4"/>
  <c r="BQ5"/>
  <c r="E13" i="20"/>
  <c r="AD13"/>
  <c r="CJ18" i="23"/>
  <c r="CK18" s="1"/>
  <c r="CJ10"/>
  <c r="CK10" s="1"/>
  <c r="CL9" s="1"/>
  <c r="Q37" i="18"/>
  <c r="S36"/>
  <c r="P37"/>
  <c r="R37"/>
  <c r="R36"/>
  <c r="O37"/>
  <c r="S37"/>
  <c r="Q36"/>
  <c r="N37"/>
  <c r="P36"/>
  <c r="O36"/>
  <c r="N36"/>
  <c r="CH11" i="23"/>
  <c r="AA13" i="20"/>
  <c r="K13"/>
  <c r="X13"/>
  <c r="I13"/>
  <c r="CJ12" i="23"/>
  <c r="CK12" s="1"/>
  <c r="CL11" s="1"/>
  <c r="CJ16"/>
  <c r="CK16" s="1"/>
  <c r="CH17"/>
  <c r="CI16" s="1"/>
  <c r="CJ17"/>
  <c r="CK17" s="1"/>
  <c r="AF13" i="20"/>
  <c r="H13"/>
  <c r="AB13"/>
  <c r="CI10" i="23"/>
  <c r="CI11"/>
  <c r="CH15"/>
  <c r="CI14" s="1"/>
  <c r="CJ15"/>
  <c r="CK15" s="1"/>
  <c r="CL14" s="1"/>
  <c r="M13" i="20"/>
  <c r="O13"/>
  <c r="Z13"/>
  <c r="U13"/>
  <c r="CH13" i="23"/>
  <c r="CI12" s="1"/>
  <c r="CJ13"/>
  <c r="CK13" s="1"/>
  <c r="CG20"/>
  <c r="CH20" s="1"/>
  <c r="CI19" s="1"/>
  <c r="BJ15"/>
  <c r="BK15" s="1"/>
  <c r="BG15"/>
  <c r="BH15" s="1"/>
  <c r="BI14" s="1"/>
  <c r="BD15"/>
  <c r="BC16"/>
  <c r="AJ15"/>
  <c r="AK15" s="1"/>
  <c r="AG15"/>
  <c r="AH15" s="1"/>
  <c r="AI14" s="1"/>
  <c r="AD15"/>
  <c r="AC16"/>
  <c r="AT15"/>
  <c r="AU15" s="1"/>
  <c r="AV14" s="1"/>
  <c r="AW15"/>
  <c r="AX15" s="1"/>
  <c r="AP16"/>
  <c r="AQ15"/>
  <c r="W15"/>
  <c r="X15" s="1"/>
  <c r="T15"/>
  <c r="U15" s="1"/>
  <c r="V14" s="1"/>
  <c r="P16"/>
  <c r="Q15"/>
  <c r="BT15"/>
  <c r="BU15" s="1"/>
  <c r="BV14" s="1"/>
  <c r="BW15"/>
  <c r="BX15" s="1"/>
  <c r="BP16"/>
  <c r="BQ15"/>
  <c r="J15"/>
  <c r="K15" s="1"/>
  <c r="G15"/>
  <c r="H15" s="1"/>
  <c r="D15"/>
  <c r="C16"/>
  <c r="CE20"/>
  <c r="CD21"/>
  <c r="CG21"/>
  <c r="CF21"/>
  <c r="CB21"/>
  <c r="CE21"/>
  <c r="CH19"/>
  <c r="CI18" s="1"/>
  <c r="CJ19"/>
  <c r="CK19" s="1"/>
  <c r="C69" i="18"/>
  <c r="F34"/>
  <c r="E34"/>
  <c r="D34"/>
  <c r="N13" i="20"/>
  <c r="V13"/>
  <c r="Q13"/>
  <c r="L13"/>
  <c r="F13"/>
  <c r="R13"/>
  <c r="G36" i="18"/>
  <c r="G70" s="1"/>
  <c r="C70"/>
  <c r="G37"/>
  <c r="G71" s="1"/>
  <c r="T13" i="20"/>
  <c r="S13"/>
  <c r="AC13"/>
  <c r="AF52"/>
  <c r="Y52"/>
  <c r="S52"/>
  <c r="BB52"/>
  <c r="AB52"/>
  <c r="BG52"/>
  <c r="BD52"/>
  <c r="BC52"/>
  <c r="D52"/>
  <c r="M52"/>
  <c r="BH52"/>
  <c r="W52"/>
  <c r="L52"/>
  <c r="Z52"/>
  <c r="Q52"/>
  <c r="G52"/>
  <c r="A53"/>
  <c r="BF52"/>
  <c r="BA52"/>
  <c r="AD52"/>
  <c r="AN52"/>
  <c r="AO52"/>
  <c r="AZ52"/>
  <c r="V52"/>
  <c r="BK52"/>
  <c r="BI52"/>
  <c r="P52"/>
  <c r="I52"/>
  <c r="J52"/>
  <c r="E52"/>
  <c r="H52"/>
  <c r="AM52"/>
  <c r="X52"/>
  <c r="AA52"/>
  <c r="AE52"/>
  <c r="T52"/>
  <c r="N52"/>
  <c r="I14" s="1"/>
  <c r="AG52"/>
  <c r="F52"/>
  <c r="AQ52"/>
  <c r="BE52"/>
  <c r="AS52"/>
  <c r="AT52"/>
  <c r="AK52"/>
  <c r="AU52"/>
  <c r="AI52"/>
  <c r="U52"/>
  <c r="AC52"/>
  <c r="AL52"/>
  <c r="K52"/>
  <c r="AY52"/>
  <c r="B14"/>
  <c r="B38" i="18" s="1"/>
  <c r="B72" s="1"/>
  <c r="O52" i="20"/>
  <c r="AJ52"/>
  <c r="AP52"/>
  <c r="R52"/>
  <c r="AV52"/>
  <c r="Z14" s="1"/>
  <c r="AH52"/>
  <c r="AX52"/>
  <c r="AA14" s="1"/>
  <c r="AW52"/>
  <c r="AR52"/>
  <c r="X14" s="1"/>
  <c r="BJ52"/>
  <c r="C37" i="18"/>
  <c r="C71" s="1"/>
  <c r="W13" i="20"/>
  <c r="D13"/>
  <c r="J13"/>
  <c r="I13" i="23"/>
  <c r="C24" i="30"/>
  <c r="L9" i="23"/>
  <c r="I11"/>
  <c r="C22" i="30"/>
  <c r="L12" i="23"/>
  <c r="T9" i="19"/>
  <c r="R9"/>
  <c r="S9"/>
  <c r="Q10"/>
  <c r="K14" i="20" l="1"/>
  <c r="BS5" i="23"/>
  <c r="BQ6"/>
  <c r="BS6" s="1"/>
  <c r="U14" i="20"/>
  <c r="CL10" i="23"/>
  <c r="CL18"/>
  <c r="K33" i="18"/>
  <c r="L34"/>
  <c r="H33"/>
  <c r="M34"/>
  <c r="J34"/>
  <c r="I34"/>
  <c r="H34"/>
  <c r="J33"/>
  <c r="K34"/>
  <c r="M33"/>
  <c r="L33"/>
  <c r="I33"/>
  <c r="CL12" i="23"/>
  <c r="C14" i="20"/>
  <c r="C38" i="18" s="1"/>
  <c r="C72" s="1"/>
  <c r="O14" i="20"/>
  <c r="CL15" i="23"/>
  <c r="CL16"/>
  <c r="W14" i="20"/>
  <c r="E14"/>
  <c r="T14"/>
  <c r="L14"/>
  <c r="CJ20" i="23"/>
  <c r="CK20" s="1"/>
  <c r="CL19" s="1"/>
  <c r="CL17"/>
  <c r="J14" i="20"/>
  <c r="AB14"/>
  <c r="CL13" i="23"/>
  <c r="L14"/>
  <c r="BL14"/>
  <c r="AL14"/>
  <c r="BW16"/>
  <c r="BX16" s="1"/>
  <c r="BT16"/>
  <c r="BU16" s="1"/>
  <c r="BV15" s="1"/>
  <c r="BQ16"/>
  <c r="BP17"/>
  <c r="W16"/>
  <c r="X16" s="1"/>
  <c r="T16"/>
  <c r="U16" s="1"/>
  <c r="V15" s="1"/>
  <c r="P17"/>
  <c r="Q16"/>
  <c r="AT16"/>
  <c r="AU16" s="1"/>
  <c r="AV15" s="1"/>
  <c r="AW16"/>
  <c r="AX16" s="1"/>
  <c r="AP17"/>
  <c r="AQ16"/>
  <c r="BJ16"/>
  <c r="BK16" s="1"/>
  <c r="BG16"/>
  <c r="BH16" s="1"/>
  <c r="BI15" s="1"/>
  <c r="BD16"/>
  <c r="BC17"/>
  <c r="BY14"/>
  <c r="AY14"/>
  <c r="AG16"/>
  <c r="AH16" s="1"/>
  <c r="AI15" s="1"/>
  <c r="AJ16"/>
  <c r="AK16" s="1"/>
  <c r="AC17"/>
  <c r="AD16"/>
  <c r="D16"/>
  <c r="J16"/>
  <c r="K16" s="1"/>
  <c r="G16"/>
  <c r="H16" s="1"/>
  <c r="I15" s="1"/>
  <c r="C17"/>
  <c r="Y14"/>
  <c r="CH21"/>
  <c r="CI20" s="1"/>
  <c r="CF1"/>
  <c r="CJ21"/>
  <c r="CK21" s="1"/>
  <c r="N14" i="20"/>
  <c r="G14"/>
  <c r="V14"/>
  <c r="BJ53"/>
  <c r="M53"/>
  <c r="BE53"/>
  <c r="AD53"/>
  <c r="BH53"/>
  <c r="AM53"/>
  <c r="BC53"/>
  <c r="B15"/>
  <c r="B39" i="18" s="1"/>
  <c r="B73" s="1"/>
  <c r="AP53" i="20"/>
  <c r="C55"/>
  <c r="Q53"/>
  <c r="F53"/>
  <c r="X53"/>
  <c r="BA53"/>
  <c r="AL53"/>
  <c r="J53"/>
  <c r="A54"/>
  <c r="AS53"/>
  <c r="AC53"/>
  <c r="V53"/>
  <c r="M15" s="1"/>
  <c r="E53"/>
  <c r="BF53"/>
  <c r="Y53"/>
  <c r="Z53"/>
  <c r="AV53"/>
  <c r="AH53"/>
  <c r="BB53"/>
  <c r="AC15" s="1"/>
  <c r="AK53"/>
  <c r="AR53"/>
  <c r="AT53"/>
  <c r="S53"/>
  <c r="P53"/>
  <c r="K53"/>
  <c r="B53"/>
  <c r="AY53"/>
  <c r="BG53"/>
  <c r="AX53"/>
  <c r="L53"/>
  <c r="C53"/>
  <c r="AN53"/>
  <c r="U53"/>
  <c r="BK53"/>
  <c r="R53"/>
  <c r="BD53"/>
  <c r="AD15" s="1"/>
  <c r="N53"/>
  <c r="AB53"/>
  <c r="AF53"/>
  <c r="D53"/>
  <c r="H53"/>
  <c r="F15" s="1"/>
  <c r="AW53"/>
  <c r="G53"/>
  <c r="AJ53"/>
  <c r="C54"/>
  <c r="BI53"/>
  <c r="O53"/>
  <c r="W53"/>
  <c r="AQ53"/>
  <c r="AZ53"/>
  <c r="AB15" s="1"/>
  <c r="AI53"/>
  <c r="I53"/>
  <c r="AO53"/>
  <c r="AG53"/>
  <c r="AA53"/>
  <c r="T53"/>
  <c r="AE53"/>
  <c r="AU53"/>
  <c r="H14"/>
  <c r="D14"/>
  <c r="P14"/>
  <c r="R14"/>
  <c r="AE14"/>
  <c r="Y14"/>
  <c r="M14"/>
  <c r="Q14"/>
  <c r="AC14"/>
  <c r="S14"/>
  <c r="F14"/>
  <c r="AF14"/>
  <c r="AD14"/>
  <c r="S71" i="18"/>
  <c r="R70"/>
  <c r="R71"/>
  <c r="P71"/>
  <c r="P70"/>
  <c r="S70"/>
  <c r="Q71"/>
  <c r="Q70"/>
  <c r="I12" i="23"/>
  <c r="C23" i="30"/>
  <c r="L13" i="23"/>
  <c r="C21" i="30"/>
  <c r="I10" i="23"/>
  <c r="I14"/>
  <c r="C25" i="30"/>
  <c r="I9" i="23"/>
  <c r="C20" i="30"/>
  <c r="L11" i="23"/>
  <c r="L10"/>
  <c r="S10" i="19"/>
  <c r="T10"/>
  <c r="R10"/>
  <c r="Q11"/>
  <c r="U30" i="18"/>
  <c r="T30"/>
  <c r="T31"/>
  <c r="U31"/>
  <c r="BL15" i="23" l="1"/>
  <c r="L15" i="20"/>
  <c r="D15"/>
  <c r="J15"/>
  <c r="T15"/>
  <c r="V15"/>
  <c r="O15"/>
  <c r="G15"/>
  <c r="K15"/>
  <c r="F37" i="18"/>
  <c r="E37"/>
  <c r="D37"/>
  <c r="I15" i="20"/>
  <c r="AA15"/>
  <c r="X15"/>
  <c r="Z15"/>
  <c r="N15"/>
  <c r="W15"/>
  <c r="AF15"/>
  <c r="AY15" i="23"/>
  <c r="BY15"/>
  <c r="Y15"/>
  <c r="C26" i="30"/>
  <c r="L15" i="23"/>
  <c r="AL15"/>
  <c r="BJ17"/>
  <c r="BK17" s="1"/>
  <c r="BG17"/>
  <c r="BH17" s="1"/>
  <c r="BI16" s="1"/>
  <c r="BD17"/>
  <c r="BC18"/>
  <c r="BW17"/>
  <c r="BX17" s="1"/>
  <c r="BT17"/>
  <c r="BU17" s="1"/>
  <c r="BV16" s="1"/>
  <c r="BP18"/>
  <c r="BQ17"/>
  <c r="J17"/>
  <c r="K17" s="1"/>
  <c r="G17"/>
  <c r="H17" s="1"/>
  <c r="C18"/>
  <c r="D17"/>
  <c r="AW17"/>
  <c r="AX17" s="1"/>
  <c r="AT17"/>
  <c r="AU17" s="1"/>
  <c r="AV16" s="1"/>
  <c r="AP18"/>
  <c r="AQ17"/>
  <c r="W17"/>
  <c r="X17" s="1"/>
  <c r="T17"/>
  <c r="U17" s="1"/>
  <c r="V16" s="1"/>
  <c r="P18"/>
  <c r="Q17"/>
  <c r="AG17"/>
  <c r="AH17" s="1"/>
  <c r="AI16" s="1"/>
  <c r="AJ17"/>
  <c r="AK17" s="1"/>
  <c r="AD17"/>
  <c r="AC18"/>
  <c r="K3" i="30"/>
  <c r="CI1" i="23"/>
  <c r="CL21"/>
  <c r="CL20"/>
  <c r="T34" i="18"/>
  <c r="U33"/>
  <c r="T33"/>
  <c r="BJ54" i="20"/>
  <c r="N54"/>
  <c r="BI54"/>
  <c r="AV54"/>
  <c r="D54"/>
  <c r="Z54"/>
  <c r="S54"/>
  <c r="I54"/>
  <c r="F54"/>
  <c r="BK54"/>
  <c r="BA54"/>
  <c r="AF54"/>
  <c r="R16" s="1"/>
  <c r="AH54"/>
  <c r="AA54"/>
  <c r="Q54"/>
  <c r="P54"/>
  <c r="AX54"/>
  <c r="AC54"/>
  <c r="B16"/>
  <c r="B40" i="18" s="1"/>
  <c r="B74" s="1"/>
  <c r="AO54" i="20"/>
  <c r="AL54"/>
  <c r="U54"/>
  <c r="BG54"/>
  <c r="BH54"/>
  <c r="AT54"/>
  <c r="BC54"/>
  <c r="AS54"/>
  <c r="L54"/>
  <c r="G54"/>
  <c r="J54"/>
  <c r="BE54"/>
  <c r="AR54"/>
  <c r="BF54"/>
  <c r="AU54"/>
  <c r="AK54"/>
  <c r="AJ54"/>
  <c r="R54"/>
  <c r="K54"/>
  <c r="T54"/>
  <c r="A55"/>
  <c r="AM54"/>
  <c r="AN54"/>
  <c r="AY54"/>
  <c r="X54"/>
  <c r="N16" s="1"/>
  <c r="AE54"/>
  <c r="E54"/>
  <c r="C16" s="1"/>
  <c r="AW54"/>
  <c r="AD54"/>
  <c r="W54"/>
  <c r="M54"/>
  <c r="AB54"/>
  <c r="AP54"/>
  <c r="AI54"/>
  <c r="Y54"/>
  <c r="H54"/>
  <c r="V54"/>
  <c r="O54"/>
  <c r="AZ54"/>
  <c r="BB54"/>
  <c r="AC16" s="1"/>
  <c r="AQ54"/>
  <c r="AG54"/>
  <c r="BD54"/>
  <c r="AD16" s="1"/>
  <c r="U34" i="18"/>
  <c r="R15" i="20"/>
  <c r="E15"/>
  <c r="Q15"/>
  <c r="P15"/>
  <c r="H15"/>
  <c r="U15"/>
  <c r="C15"/>
  <c r="A15"/>
  <c r="A39" i="18" s="1"/>
  <c r="A73" s="1"/>
  <c r="Y15" i="20"/>
  <c r="S15"/>
  <c r="AE15"/>
  <c r="T11" i="19"/>
  <c r="S11"/>
  <c r="R11"/>
  <c r="Q12"/>
  <c r="V31" i="18"/>
  <c r="V30"/>
  <c r="H16" i="20" l="1"/>
  <c r="AB16"/>
  <c r="Z16"/>
  <c r="F16"/>
  <c r="X16"/>
  <c r="AF16"/>
  <c r="M37" i="18"/>
  <c r="M36"/>
  <c r="K37"/>
  <c r="I36"/>
  <c r="L36"/>
  <c r="J36"/>
  <c r="K36"/>
  <c r="J37"/>
  <c r="H36"/>
  <c r="H37"/>
  <c r="I37"/>
  <c r="L37"/>
  <c r="M16" i="20"/>
  <c r="W16"/>
  <c r="Q16"/>
  <c r="K16"/>
  <c r="AE16"/>
  <c r="AA16"/>
  <c r="BY16" i="23"/>
  <c r="T16" i="20"/>
  <c r="P16"/>
  <c r="J16"/>
  <c r="L16" i="23"/>
  <c r="BL16"/>
  <c r="AL16"/>
  <c r="AJ18"/>
  <c r="AK18" s="1"/>
  <c r="AG18"/>
  <c r="AH18" s="1"/>
  <c r="AI17" s="1"/>
  <c r="AC19"/>
  <c r="AD18"/>
  <c r="W18"/>
  <c r="X18" s="1"/>
  <c r="T18"/>
  <c r="U18" s="1"/>
  <c r="V17" s="1"/>
  <c r="P19"/>
  <c r="Q18"/>
  <c r="AW18"/>
  <c r="AX18" s="1"/>
  <c r="AT18"/>
  <c r="AU18" s="1"/>
  <c r="AV17" s="1"/>
  <c r="AQ18"/>
  <c r="AP19"/>
  <c r="G18"/>
  <c r="H18" s="1"/>
  <c r="C28" i="30" s="1"/>
  <c r="J18" i="23"/>
  <c r="K18" s="1"/>
  <c r="C19"/>
  <c r="D18"/>
  <c r="BG18"/>
  <c r="BH18" s="1"/>
  <c r="BI17" s="1"/>
  <c r="BJ18"/>
  <c r="BK18" s="1"/>
  <c r="BD18"/>
  <c r="BC19"/>
  <c r="BW18"/>
  <c r="BX18" s="1"/>
  <c r="BT18"/>
  <c r="BU18" s="1"/>
  <c r="BV17" s="1"/>
  <c r="BP19"/>
  <c r="BQ18"/>
  <c r="Y16"/>
  <c r="AY16"/>
  <c r="V34" i="18"/>
  <c r="V33"/>
  <c r="L16" i="20"/>
  <c r="AN55"/>
  <c r="O55"/>
  <c r="BG55"/>
  <c r="E55"/>
  <c r="C17" s="1"/>
  <c r="BD55"/>
  <c r="AO55"/>
  <c r="R55"/>
  <c r="AK55"/>
  <c r="AC55"/>
  <c r="AR55"/>
  <c r="AX55"/>
  <c r="AQ55"/>
  <c r="G55"/>
  <c r="D55"/>
  <c r="Q55"/>
  <c r="H55"/>
  <c r="X55"/>
  <c r="M55"/>
  <c r="B17"/>
  <c r="B41" i="18" s="1"/>
  <c r="B75" s="1"/>
  <c r="AI55" i="20"/>
  <c r="I55"/>
  <c r="AY55"/>
  <c r="AA55"/>
  <c r="AV55"/>
  <c r="AU55"/>
  <c r="S55"/>
  <c r="BK55"/>
  <c r="T55"/>
  <c r="U55"/>
  <c r="BA55"/>
  <c r="AD55"/>
  <c r="BE55"/>
  <c r="W55"/>
  <c r="Z55"/>
  <c r="AP55"/>
  <c r="AB55"/>
  <c r="AL55"/>
  <c r="U17" s="1"/>
  <c r="BF55"/>
  <c r="AJ55"/>
  <c r="K55"/>
  <c r="AW55"/>
  <c r="F55"/>
  <c r="AF55"/>
  <c r="Y55"/>
  <c r="AE55"/>
  <c r="BB55"/>
  <c r="P55"/>
  <c r="AS55"/>
  <c r="N55"/>
  <c r="AH55"/>
  <c r="AM55"/>
  <c r="L55"/>
  <c r="BC55"/>
  <c r="BH55"/>
  <c r="AG55"/>
  <c r="AT55"/>
  <c r="BI55"/>
  <c r="AZ55"/>
  <c r="BJ55"/>
  <c r="V55"/>
  <c r="M17" s="1"/>
  <c r="J55"/>
  <c r="C39" i="18"/>
  <c r="V16" i="20"/>
  <c r="G16"/>
  <c r="O16"/>
  <c r="I16"/>
  <c r="A56"/>
  <c r="Y16"/>
  <c r="U16"/>
  <c r="S16"/>
  <c r="E16"/>
  <c r="C40" i="18" s="1"/>
  <c r="C74" s="1"/>
  <c r="D16" i="20"/>
  <c r="I16" i="23"/>
  <c r="C27" i="30"/>
  <c r="S12" i="19"/>
  <c r="T12"/>
  <c r="R12"/>
  <c r="Q13"/>
  <c r="N39" i="18" l="1"/>
  <c r="S40"/>
  <c r="R39"/>
  <c r="P39"/>
  <c r="R40"/>
  <c r="O40"/>
  <c r="Q40"/>
  <c r="Q39"/>
  <c r="O39"/>
  <c r="S39"/>
  <c r="P40"/>
  <c r="N40"/>
  <c r="R17" i="20"/>
  <c r="K17"/>
  <c r="U37" i="18"/>
  <c r="T36"/>
  <c r="T37"/>
  <c r="U36"/>
  <c r="AB17" i="20"/>
  <c r="AE17"/>
  <c r="I17" i="23"/>
  <c r="S17" i="20"/>
  <c r="E17"/>
  <c r="C41" i="18" s="1"/>
  <c r="C75" s="1"/>
  <c r="O17" i="20"/>
  <c r="AF17"/>
  <c r="AC17"/>
  <c r="G17"/>
  <c r="I17"/>
  <c r="D17"/>
  <c r="L17" i="23"/>
  <c r="BY17"/>
  <c r="AY17"/>
  <c r="BT19"/>
  <c r="BU19" s="1"/>
  <c r="BV18" s="1"/>
  <c r="BW19"/>
  <c r="BX19" s="1"/>
  <c r="BQ19"/>
  <c r="BP20"/>
  <c r="J19"/>
  <c r="K19" s="1"/>
  <c r="G19"/>
  <c r="H19" s="1"/>
  <c r="C20"/>
  <c r="D19"/>
  <c r="AW19"/>
  <c r="AX19" s="1"/>
  <c r="AT19"/>
  <c r="AU19" s="1"/>
  <c r="AV18" s="1"/>
  <c r="AQ19"/>
  <c r="AP20"/>
  <c r="BL17"/>
  <c r="T19"/>
  <c r="U19" s="1"/>
  <c r="V18" s="1"/>
  <c r="W19"/>
  <c r="X19" s="1"/>
  <c r="Q19"/>
  <c r="P20"/>
  <c r="AJ19"/>
  <c r="AK19" s="1"/>
  <c r="AG19"/>
  <c r="AH19" s="1"/>
  <c r="AI18" s="1"/>
  <c r="AC20"/>
  <c r="AD19"/>
  <c r="BG19"/>
  <c r="BH19" s="1"/>
  <c r="BI18" s="1"/>
  <c r="BJ19"/>
  <c r="BK19" s="1"/>
  <c r="BC20"/>
  <c r="BD19"/>
  <c r="Y17"/>
  <c r="AL17"/>
  <c r="G39" i="18"/>
  <c r="G73" s="1"/>
  <c r="G40"/>
  <c r="G74" s="1"/>
  <c r="C73"/>
  <c r="AA17" i="20"/>
  <c r="X17"/>
  <c r="Y17"/>
  <c r="H17"/>
  <c r="P17"/>
  <c r="L17"/>
  <c r="Z17"/>
  <c r="N17"/>
  <c r="AD17"/>
  <c r="V17"/>
  <c r="B56"/>
  <c r="BD56"/>
  <c r="AW56"/>
  <c r="AQ56"/>
  <c r="BJ56"/>
  <c r="AZ56"/>
  <c r="AS56"/>
  <c r="AM56"/>
  <c r="Z56"/>
  <c r="AO56"/>
  <c r="AL56"/>
  <c r="E56"/>
  <c r="C18" s="1"/>
  <c r="BK56"/>
  <c r="D56"/>
  <c r="Y56"/>
  <c r="N56"/>
  <c r="BA56"/>
  <c r="AH56"/>
  <c r="AN56"/>
  <c r="AG56"/>
  <c r="AA56"/>
  <c r="AP56"/>
  <c r="AJ56"/>
  <c r="AC56"/>
  <c r="W56"/>
  <c r="J56"/>
  <c r="I56"/>
  <c r="C58"/>
  <c r="AR56"/>
  <c r="AE56"/>
  <c r="AY56"/>
  <c r="B18"/>
  <c r="B42" i="18" s="1"/>
  <c r="B76" s="1"/>
  <c r="U56" i="20"/>
  <c r="C57"/>
  <c r="H56"/>
  <c r="BG56"/>
  <c r="AX56"/>
  <c r="BI56"/>
  <c r="BC56"/>
  <c r="AD56"/>
  <c r="P56"/>
  <c r="C56"/>
  <c r="AK56"/>
  <c r="BE56"/>
  <c r="AB56"/>
  <c r="P18" s="1"/>
  <c r="O56"/>
  <c r="X56"/>
  <c r="Q56"/>
  <c r="K56"/>
  <c r="G56"/>
  <c r="T56"/>
  <c r="M56"/>
  <c r="BB56"/>
  <c r="AV56"/>
  <c r="AI56"/>
  <c r="A57"/>
  <c r="L56"/>
  <c r="BF56"/>
  <c r="AE18" s="1"/>
  <c r="AF56"/>
  <c r="R18" s="1"/>
  <c r="S56"/>
  <c r="BH56"/>
  <c r="AU56"/>
  <c r="F56"/>
  <c r="V56"/>
  <c r="M18" s="1"/>
  <c r="R56"/>
  <c r="K18" s="1"/>
  <c r="AT56"/>
  <c r="Y18" s="1"/>
  <c r="J17"/>
  <c r="T17"/>
  <c r="W17"/>
  <c r="Q17"/>
  <c r="F17"/>
  <c r="T13" i="19"/>
  <c r="S13"/>
  <c r="R13"/>
  <c r="Q14"/>
  <c r="V36" i="18" l="1"/>
  <c r="V37"/>
  <c r="F40"/>
  <c r="H18" i="20"/>
  <c r="W18"/>
  <c r="Q18"/>
  <c r="Z18"/>
  <c r="T18"/>
  <c r="V18"/>
  <c r="E40" i="18"/>
  <c r="D40"/>
  <c r="X18" i="20"/>
  <c r="E18"/>
  <c r="C42" i="18" s="1"/>
  <c r="O18" i="20"/>
  <c r="AY18" i="23"/>
  <c r="AL18"/>
  <c r="L18"/>
  <c r="BG20"/>
  <c r="BH20" s="1"/>
  <c r="BI19" s="1"/>
  <c r="BJ20"/>
  <c r="BK20" s="1"/>
  <c r="BC21"/>
  <c r="BD20"/>
  <c r="AT20"/>
  <c r="AU20" s="1"/>
  <c r="AV19" s="1"/>
  <c r="AW20"/>
  <c r="AX20" s="1"/>
  <c r="AP21"/>
  <c r="AQ20"/>
  <c r="BL18"/>
  <c r="Y18"/>
  <c r="J20"/>
  <c r="K20" s="1"/>
  <c r="G20"/>
  <c r="H20" s="1"/>
  <c r="I19" s="1"/>
  <c r="D20"/>
  <c r="C21"/>
  <c r="BW20"/>
  <c r="BX20" s="1"/>
  <c r="BT20"/>
  <c r="BU20" s="1"/>
  <c r="BV19" s="1"/>
  <c r="BP21"/>
  <c r="BQ20"/>
  <c r="T20"/>
  <c r="U20" s="1"/>
  <c r="V19" s="1"/>
  <c r="W20"/>
  <c r="X20" s="1"/>
  <c r="P21"/>
  <c r="Q20"/>
  <c r="BY18"/>
  <c r="AJ20"/>
  <c r="AK20" s="1"/>
  <c r="AG20"/>
  <c r="AH20" s="1"/>
  <c r="AI19" s="1"/>
  <c r="AD20"/>
  <c r="AC21"/>
  <c r="L18" i="20"/>
  <c r="N18"/>
  <c r="F18"/>
  <c r="I18"/>
  <c r="AH57"/>
  <c r="BK57"/>
  <c r="AY57"/>
  <c r="AR57"/>
  <c r="M57"/>
  <c r="N57"/>
  <c r="AT57"/>
  <c r="AV57"/>
  <c r="W57"/>
  <c r="AO57"/>
  <c r="H57"/>
  <c r="AN57"/>
  <c r="X57"/>
  <c r="BE57"/>
  <c r="A58"/>
  <c r="AE57"/>
  <c r="BA57"/>
  <c r="O57"/>
  <c r="AZ57"/>
  <c r="AC57"/>
  <c r="AU57"/>
  <c r="B19"/>
  <c r="B43" i="18" s="1"/>
  <c r="B77" s="1"/>
  <c r="AX57" i="20"/>
  <c r="AK57"/>
  <c r="Z57"/>
  <c r="BD57"/>
  <c r="AG57"/>
  <c r="T57"/>
  <c r="S57"/>
  <c r="AW57"/>
  <c r="V57"/>
  <c r="AS57"/>
  <c r="BG57"/>
  <c r="BJ57"/>
  <c r="BC57"/>
  <c r="AF57"/>
  <c r="BH57"/>
  <c r="U57"/>
  <c r="AI57"/>
  <c r="Y57"/>
  <c r="F57"/>
  <c r="BB57"/>
  <c r="AC19" s="1"/>
  <c r="AB57"/>
  <c r="BI57"/>
  <c r="AA57"/>
  <c r="P57"/>
  <c r="AM57"/>
  <c r="D57"/>
  <c r="AP57"/>
  <c r="Q57"/>
  <c r="BF57"/>
  <c r="AQ57"/>
  <c r="I57"/>
  <c r="G57"/>
  <c r="J57"/>
  <c r="E57"/>
  <c r="C19" s="1"/>
  <c r="L57"/>
  <c r="H19" s="1"/>
  <c r="R57"/>
  <c r="K19" s="1"/>
  <c r="AL57"/>
  <c r="AJ57"/>
  <c r="AD57"/>
  <c r="K57"/>
  <c r="U18"/>
  <c r="A18"/>
  <c r="A42" i="18" s="1"/>
  <c r="A76" s="1"/>
  <c r="A59" i="20"/>
  <c r="B59"/>
  <c r="AF18"/>
  <c r="AC18"/>
  <c r="J18"/>
  <c r="AA18"/>
  <c r="G18"/>
  <c r="S18"/>
  <c r="D18"/>
  <c r="AB18"/>
  <c r="AD18"/>
  <c r="P74" i="18"/>
  <c r="S73"/>
  <c r="S74"/>
  <c r="R74"/>
  <c r="Q73"/>
  <c r="P73"/>
  <c r="Q74"/>
  <c r="R73"/>
  <c r="I18" i="23"/>
  <c r="C29" i="30"/>
  <c r="S14" i="19"/>
  <c r="T14"/>
  <c r="R14"/>
  <c r="Q15"/>
  <c r="O67" i="18"/>
  <c r="O68"/>
  <c r="N68"/>
  <c r="N67"/>
  <c r="O70"/>
  <c r="O71"/>
  <c r="N70"/>
  <c r="N71"/>
  <c r="O74"/>
  <c r="N73"/>
  <c r="O73"/>
  <c r="N74"/>
  <c r="O64"/>
  <c r="N65"/>
  <c r="O65"/>
  <c r="N64"/>
  <c r="AF19" i="20" l="1"/>
  <c r="C30" i="30"/>
  <c r="H40" i="18"/>
  <c r="I40"/>
  <c r="K40"/>
  <c r="L40"/>
  <c r="L39"/>
  <c r="J39"/>
  <c r="H39"/>
  <c r="J40"/>
  <c r="M39"/>
  <c r="I39"/>
  <c r="M40"/>
  <c r="K39"/>
  <c r="P42"/>
  <c r="S42"/>
  <c r="O43"/>
  <c r="O42"/>
  <c r="R43"/>
  <c r="N43"/>
  <c r="N42"/>
  <c r="S43"/>
  <c r="P43"/>
  <c r="R42"/>
  <c r="Q42"/>
  <c r="Q43"/>
  <c r="U19" i="20"/>
  <c r="G42" i="18"/>
  <c r="G76" s="1"/>
  <c r="G43"/>
  <c r="G77" s="1"/>
  <c r="C76"/>
  <c r="N77" s="1"/>
  <c r="P19" i="20"/>
  <c r="Q19"/>
  <c r="W19"/>
  <c r="O19"/>
  <c r="S19"/>
  <c r="E19"/>
  <c r="C43" i="18" s="1"/>
  <c r="C77" s="1"/>
  <c r="AE19" i="20"/>
  <c r="M19"/>
  <c r="N19"/>
  <c r="L19" i="23"/>
  <c r="BL19"/>
  <c r="AY19"/>
  <c r="AL19"/>
  <c r="Y19"/>
  <c r="AG21"/>
  <c r="AH21" s="1"/>
  <c r="AI20" s="1"/>
  <c r="AJ21"/>
  <c r="AK21" s="1"/>
  <c r="AL20" s="1"/>
  <c r="AD21"/>
  <c r="AC22"/>
  <c r="BY19"/>
  <c r="AW21"/>
  <c r="AX21" s="1"/>
  <c r="AY20" s="1"/>
  <c r="AT21"/>
  <c r="AU21" s="1"/>
  <c r="AV20" s="1"/>
  <c r="AQ21"/>
  <c r="AP22"/>
  <c r="BJ21"/>
  <c r="BK21" s="1"/>
  <c r="BL20" s="1"/>
  <c r="BG21"/>
  <c r="BH21" s="1"/>
  <c r="BI20" s="1"/>
  <c r="BC22"/>
  <c r="BD21"/>
  <c r="W21"/>
  <c r="X21" s="1"/>
  <c r="Y20" s="1"/>
  <c r="T21"/>
  <c r="U21" s="1"/>
  <c r="V20" s="1"/>
  <c r="P22"/>
  <c r="Q21"/>
  <c r="BT21"/>
  <c r="BU21" s="1"/>
  <c r="BV20" s="1"/>
  <c r="BW21"/>
  <c r="BX21" s="1"/>
  <c r="BY20" s="1"/>
  <c r="BP22"/>
  <c r="BQ21"/>
  <c r="G21"/>
  <c r="H21" s="1"/>
  <c r="I20" s="1"/>
  <c r="J21"/>
  <c r="K21" s="1"/>
  <c r="L20" s="1"/>
  <c r="D21"/>
  <c r="C22"/>
  <c r="T19" i="20"/>
  <c r="D19"/>
  <c r="R19"/>
  <c r="L19"/>
  <c r="V19"/>
  <c r="Z19"/>
  <c r="X19"/>
  <c r="Q77" i="18"/>
  <c r="A21" i="20"/>
  <c r="A45" i="18" s="1"/>
  <c r="A79" s="1"/>
  <c r="B62" i="20"/>
  <c r="A62"/>
  <c r="G19"/>
  <c r="AA19"/>
  <c r="AB19"/>
  <c r="BG58"/>
  <c r="AW58"/>
  <c r="AV58"/>
  <c r="AP58"/>
  <c r="AI58"/>
  <c r="Y58"/>
  <c r="B20"/>
  <c r="B44" i="18" s="1"/>
  <c r="B78" s="1"/>
  <c r="BC58" i="20"/>
  <c r="AJ58"/>
  <c r="BB58"/>
  <c r="AK58"/>
  <c r="AT58"/>
  <c r="AC58"/>
  <c r="AR58"/>
  <c r="BK58"/>
  <c r="AA58"/>
  <c r="AX58"/>
  <c r="AQ58"/>
  <c r="AG58"/>
  <c r="AZ58"/>
  <c r="Z58"/>
  <c r="S58"/>
  <c r="I58"/>
  <c r="F58"/>
  <c r="W58"/>
  <c r="BH58"/>
  <c r="V58"/>
  <c r="BD58"/>
  <c r="N58"/>
  <c r="P58"/>
  <c r="BA58"/>
  <c r="T58"/>
  <c r="L20" s="1"/>
  <c r="AH58"/>
  <c r="S20" s="1"/>
  <c r="X58"/>
  <c r="AY58"/>
  <c r="AN58"/>
  <c r="M58"/>
  <c r="O58"/>
  <c r="BI58"/>
  <c r="U58"/>
  <c r="AF58"/>
  <c r="R20" s="1"/>
  <c r="J58"/>
  <c r="AS58"/>
  <c r="AL58"/>
  <c r="R58"/>
  <c r="L58"/>
  <c r="H20" s="1"/>
  <c r="BE58"/>
  <c r="BJ58"/>
  <c r="E58"/>
  <c r="AB58"/>
  <c r="BF58"/>
  <c r="AO58"/>
  <c r="D58"/>
  <c r="AE58"/>
  <c r="AU58"/>
  <c r="K58"/>
  <c r="AD58"/>
  <c r="Q20" s="1"/>
  <c r="G58"/>
  <c r="Q58"/>
  <c r="H58"/>
  <c r="AM58"/>
  <c r="F19"/>
  <c r="Y19"/>
  <c r="BB59"/>
  <c r="AC21" s="1"/>
  <c r="BE59"/>
  <c r="V59"/>
  <c r="M21" s="1"/>
  <c r="N59"/>
  <c r="I21" s="1"/>
  <c r="BJ59"/>
  <c r="X59"/>
  <c r="N21" s="1"/>
  <c r="K59"/>
  <c r="Y59"/>
  <c r="C59"/>
  <c r="BC59"/>
  <c r="AS59"/>
  <c r="AJ59"/>
  <c r="T21" s="1"/>
  <c r="AA59"/>
  <c r="AM59"/>
  <c r="AB59"/>
  <c r="P21" s="1"/>
  <c r="R59"/>
  <c r="K21" s="1"/>
  <c r="A60"/>
  <c r="L59"/>
  <c r="H21" s="1"/>
  <c r="U59"/>
  <c r="AQ59"/>
  <c r="BH59"/>
  <c r="AF21" s="1"/>
  <c r="AZ59"/>
  <c r="AB21" s="1"/>
  <c r="P59"/>
  <c r="J21" s="1"/>
  <c r="AT59"/>
  <c r="Y21" s="1"/>
  <c r="M59"/>
  <c r="BA59"/>
  <c r="O59"/>
  <c r="BD59"/>
  <c r="AD21" s="1"/>
  <c r="J59"/>
  <c r="G21" s="1"/>
  <c r="AH59"/>
  <c r="S21" s="1"/>
  <c r="Z59"/>
  <c r="O21" s="1"/>
  <c r="C60"/>
  <c r="AE59"/>
  <c r="AR59"/>
  <c r="X21" s="1"/>
  <c r="W59"/>
  <c r="T59"/>
  <c r="L21" s="1"/>
  <c r="AD59"/>
  <c r="Q21" s="1"/>
  <c r="AV59"/>
  <c r="Z21" s="1"/>
  <c r="AC59"/>
  <c r="AO59"/>
  <c r="AN59"/>
  <c r="V21" s="1"/>
  <c r="BG59"/>
  <c r="AG59"/>
  <c r="BI59"/>
  <c r="C61"/>
  <c r="AW59"/>
  <c r="AK59"/>
  <c r="B21"/>
  <c r="B45" i="18" s="1"/>
  <c r="B79" s="1"/>
  <c r="BF59" i="20"/>
  <c r="AE21" s="1"/>
  <c r="D59"/>
  <c r="D21" s="1"/>
  <c r="F59"/>
  <c r="E21" s="1"/>
  <c r="AF59"/>
  <c r="R21" s="1"/>
  <c r="BK59"/>
  <c r="AY59"/>
  <c r="E59"/>
  <c r="Q59"/>
  <c r="G59"/>
  <c r="C21"/>
  <c r="H59"/>
  <c r="F21" s="1"/>
  <c r="S59"/>
  <c r="I59"/>
  <c r="AP59"/>
  <c r="W21" s="1"/>
  <c r="AL59"/>
  <c r="U21" s="1"/>
  <c r="AU59"/>
  <c r="AX59"/>
  <c r="AA21" s="1"/>
  <c r="AI59"/>
  <c r="J19"/>
  <c r="AD19"/>
  <c r="I19"/>
  <c r="T15" i="19"/>
  <c r="S15"/>
  <c r="R15"/>
  <c r="Q16"/>
  <c r="Q17" s="1"/>
  <c r="Q113" i="18" l="1"/>
  <c r="P113"/>
  <c r="B113"/>
  <c r="S113"/>
  <c r="F113"/>
  <c r="C113"/>
  <c r="D113"/>
  <c r="E113"/>
  <c r="T113"/>
  <c r="G113"/>
  <c r="AE20" i="20"/>
  <c r="F20"/>
  <c r="AD20"/>
  <c r="AB20"/>
  <c r="W20"/>
  <c r="T39" i="18"/>
  <c r="R77"/>
  <c r="T40"/>
  <c r="U39"/>
  <c r="Q76"/>
  <c r="S76"/>
  <c r="P77"/>
  <c r="P76"/>
  <c r="R76"/>
  <c r="U40"/>
  <c r="S77"/>
  <c r="E20" i="20"/>
  <c r="O76" i="18"/>
  <c r="O77"/>
  <c r="N76"/>
  <c r="O20" i="20"/>
  <c r="V20"/>
  <c r="Y20"/>
  <c r="M20"/>
  <c r="G20"/>
  <c r="N20"/>
  <c r="J20"/>
  <c r="AF20"/>
  <c r="W22" i="23"/>
  <c r="X22" s="1"/>
  <c r="Y21" s="1"/>
  <c r="T22"/>
  <c r="U22" s="1"/>
  <c r="V21" s="1"/>
  <c r="P23"/>
  <c r="Q22"/>
  <c r="AW22"/>
  <c r="AX22" s="1"/>
  <c r="AY21" s="1"/>
  <c r="AT22"/>
  <c r="AU22" s="1"/>
  <c r="AV21" s="1"/>
  <c r="AP23"/>
  <c r="AQ22"/>
  <c r="BW22"/>
  <c r="BX22" s="1"/>
  <c r="BY21" s="1"/>
  <c r="BT22"/>
  <c r="BU22" s="1"/>
  <c r="BV21" s="1"/>
  <c r="BP23"/>
  <c r="BQ22"/>
  <c r="AJ22"/>
  <c r="AK22" s="1"/>
  <c r="AL21" s="1"/>
  <c r="AG22"/>
  <c r="AH22" s="1"/>
  <c r="AI21" s="1"/>
  <c r="AC23"/>
  <c r="AD22"/>
  <c r="J22"/>
  <c r="K22" s="1"/>
  <c r="L21" s="1"/>
  <c r="G22"/>
  <c r="H22" s="1"/>
  <c r="I21" s="1"/>
  <c r="D22"/>
  <c r="C23"/>
  <c r="BJ22"/>
  <c r="BK22" s="1"/>
  <c r="BL21" s="1"/>
  <c r="BG22"/>
  <c r="BH22" s="1"/>
  <c r="BI21" s="1"/>
  <c r="BC23"/>
  <c r="BD22"/>
  <c r="A65" i="20"/>
  <c r="B65"/>
  <c r="A24"/>
  <c r="A48" i="18" s="1"/>
  <c r="A82" s="1"/>
  <c r="Z20" i="20"/>
  <c r="BE60"/>
  <c r="AY60"/>
  <c r="AL60"/>
  <c r="U22" s="1"/>
  <c r="C22"/>
  <c r="H60"/>
  <c r="F22" s="1"/>
  <c r="BG60"/>
  <c r="J60"/>
  <c r="G22" s="1"/>
  <c r="BH60"/>
  <c r="AF22" s="1"/>
  <c r="AU60"/>
  <c r="AZ60"/>
  <c r="AB22" s="1"/>
  <c r="AM60"/>
  <c r="AR60"/>
  <c r="X22" s="1"/>
  <c r="AE60"/>
  <c r="E60"/>
  <c r="BI60"/>
  <c r="BA60"/>
  <c r="AK60"/>
  <c r="AC60"/>
  <c r="AV60"/>
  <c r="Z22" s="1"/>
  <c r="AO60"/>
  <c r="AI60"/>
  <c r="AP60"/>
  <c r="W22" s="1"/>
  <c r="BD60"/>
  <c r="AD22" s="1"/>
  <c r="AW60"/>
  <c r="AQ60"/>
  <c r="BB60"/>
  <c r="AC22" s="1"/>
  <c r="AB60"/>
  <c r="P22" s="1"/>
  <c r="O60"/>
  <c r="T60"/>
  <c r="L22" s="1"/>
  <c r="BF60"/>
  <c r="AE22" s="1"/>
  <c r="L60"/>
  <c r="H22" s="1"/>
  <c r="R60"/>
  <c r="K22" s="1"/>
  <c r="AJ60"/>
  <c r="T22" s="1"/>
  <c r="AX60"/>
  <c r="AA22" s="1"/>
  <c r="AF60"/>
  <c r="R22" s="1"/>
  <c r="Y60"/>
  <c r="S60"/>
  <c r="BJ60"/>
  <c r="AN60"/>
  <c r="V22" s="1"/>
  <c r="AG60"/>
  <c r="AA60"/>
  <c r="AT60"/>
  <c r="Y22" s="1"/>
  <c r="V60"/>
  <c r="M22" s="1"/>
  <c r="AS60"/>
  <c r="AD60"/>
  <c r="Q22" s="1"/>
  <c r="G60"/>
  <c r="W60"/>
  <c r="I60"/>
  <c r="Q60"/>
  <c r="AH60"/>
  <c r="S22" s="1"/>
  <c r="BC60"/>
  <c r="X60"/>
  <c r="N22" s="1"/>
  <c r="BK60"/>
  <c r="Z60"/>
  <c r="O22" s="1"/>
  <c r="K60"/>
  <c r="M60"/>
  <c r="B22"/>
  <c r="B46" i="18" s="1"/>
  <c r="B80" s="1"/>
  <c r="D60" i="20"/>
  <c r="D22" s="1"/>
  <c r="F60"/>
  <c r="E22" s="1"/>
  <c r="C46" i="18" s="1"/>
  <c r="C80" s="1"/>
  <c r="N60" i="20"/>
  <c r="I22" s="1"/>
  <c r="A61"/>
  <c r="P60"/>
  <c r="J22" s="1"/>
  <c r="U60"/>
  <c r="U20"/>
  <c r="C45" i="18"/>
  <c r="P20" i="20"/>
  <c r="X20"/>
  <c r="AC20"/>
  <c r="D20"/>
  <c r="C20"/>
  <c r="C44" i="18" s="1"/>
  <c r="K20" i="20"/>
  <c r="I20"/>
  <c r="AA20"/>
  <c r="T20"/>
  <c r="R62"/>
  <c r="K24" s="1"/>
  <c r="O62"/>
  <c r="BH62"/>
  <c r="AF24" s="1"/>
  <c r="AX62"/>
  <c r="AA24" s="1"/>
  <c r="BC62"/>
  <c r="AS62"/>
  <c r="T62"/>
  <c r="L24" s="1"/>
  <c r="AA62"/>
  <c r="P62"/>
  <c r="J24" s="1"/>
  <c r="S62"/>
  <c r="L62"/>
  <c r="H24" s="1"/>
  <c r="AP62"/>
  <c r="W24" s="1"/>
  <c r="AG62"/>
  <c r="B24"/>
  <c r="B48" i="18" s="1"/>
  <c r="B82" s="1"/>
  <c r="BE62" i="20"/>
  <c r="D62"/>
  <c r="D24" s="1"/>
  <c r="Z62"/>
  <c r="O24" s="1"/>
  <c r="AQ62"/>
  <c r="AJ62"/>
  <c r="T24" s="1"/>
  <c r="AN62"/>
  <c r="V24" s="1"/>
  <c r="BK62"/>
  <c r="BA62"/>
  <c r="H62"/>
  <c r="F24" s="1"/>
  <c r="AL62"/>
  <c r="U24" s="1"/>
  <c r="AM62"/>
  <c r="AC62"/>
  <c r="BB62"/>
  <c r="AC24" s="1"/>
  <c r="AW62"/>
  <c r="C63"/>
  <c r="AO62"/>
  <c r="E62"/>
  <c r="N62"/>
  <c r="I24" s="1"/>
  <c r="AB62"/>
  <c r="P24" s="1"/>
  <c r="AI62"/>
  <c r="F62"/>
  <c r="E24" s="1"/>
  <c r="C62"/>
  <c r="BF62"/>
  <c r="AE24" s="1"/>
  <c r="AU62"/>
  <c r="AK62"/>
  <c r="AF62"/>
  <c r="R24" s="1"/>
  <c r="V62"/>
  <c r="M24" s="1"/>
  <c r="W62"/>
  <c r="M62"/>
  <c r="Q62"/>
  <c r="AT62"/>
  <c r="Y24" s="1"/>
  <c r="I62"/>
  <c r="C64"/>
  <c r="AV62"/>
  <c r="Z24" s="1"/>
  <c r="AH62"/>
  <c r="S24" s="1"/>
  <c r="X62"/>
  <c r="N24" s="1"/>
  <c r="BG62"/>
  <c r="A63"/>
  <c r="Y62"/>
  <c r="U62"/>
  <c r="AR62"/>
  <c r="X24" s="1"/>
  <c r="BJ62"/>
  <c r="AD62"/>
  <c r="Q24" s="1"/>
  <c r="J62"/>
  <c r="G24" s="1"/>
  <c r="AZ62"/>
  <c r="AB24" s="1"/>
  <c r="K62"/>
  <c r="C24"/>
  <c r="BI62"/>
  <c r="G62"/>
  <c r="AE62"/>
  <c r="AY62"/>
  <c r="BD62"/>
  <c r="AD24" s="1"/>
  <c r="Q18" i="19"/>
  <c r="T17"/>
  <c r="S17"/>
  <c r="R17"/>
  <c r="S16"/>
  <c r="T16"/>
  <c r="R16"/>
  <c r="Q116" i="18" l="1"/>
  <c r="P116"/>
  <c r="S116"/>
  <c r="F116"/>
  <c r="T116"/>
  <c r="G116"/>
  <c r="B116"/>
  <c r="D116"/>
  <c r="C116"/>
  <c r="E116"/>
  <c r="P114"/>
  <c r="Q114"/>
  <c r="D114"/>
  <c r="G114"/>
  <c r="C114"/>
  <c r="E114"/>
  <c r="S114"/>
  <c r="T114"/>
  <c r="F114"/>
  <c r="B114"/>
  <c r="L113"/>
  <c r="M113"/>
  <c r="N113"/>
  <c r="H113"/>
  <c r="I113"/>
  <c r="K113"/>
  <c r="J113"/>
  <c r="V39"/>
  <c r="V40"/>
  <c r="AW23" i="23"/>
  <c r="AX23" s="1"/>
  <c r="AY22" s="1"/>
  <c r="AT23"/>
  <c r="AU23" s="1"/>
  <c r="AV22" s="1"/>
  <c r="AP24"/>
  <c r="AQ23"/>
  <c r="BW23"/>
  <c r="BX23" s="1"/>
  <c r="BY22" s="1"/>
  <c r="BT23"/>
  <c r="BU23" s="1"/>
  <c r="BV22" s="1"/>
  <c r="BQ23"/>
  <c r="BP24"/>
  <c r="BJ23"/>
  <c r="BK23" s="1"/>
  <c r="BL22" s="1"/>
  <c r="BG23"/>
  <c r="BH23" s="1"/>
  <c r="BI22" s="1"/>
  <c r="BD23"/>
  <c r="BC24"/>
  <c r="AG23"/>
  <c r="AH23" s="1"/>
  <c r="AI22" s="1"/>
  <c r="AJ23"/>
  <c r="AK23" s="1"/>
  <c r="AL22" s="1"/>
  <c r="AC24"/>
  <c r="AD23"/>
  <c r="J23"/>
  <c r="K23" s="1"/>
  <c r="L22" s="1"/>
  <c r="G23"/>
  <c r="H23" s="1"/>
  <c r="I22" s="1"/>
  <c r="D23"/>
  <c r="C24"/>
  <c r="T23"/>
  <c r="U23" s="1"/>
  <c r="V22" s="1"/>
  <c r="W23"/>
  <c r="X23" s="1"/>
  <c r="Y22" s="1"/>
  <c r="Q23"/>
  <c r="P24"/>
  <c r="C78" i="18"/>
  <c r="D43"/>
  <c r="F43"/>
  <c r="E43"/>
  <c r="A27" i="20"/>
  <c r="A51" i="18" s="1"/>
  <c r="A85" s="1"/>
  <c r="A68" i="20"/>
  <c r="B68"/>
  <c r="BJ63"/>
  <c r="H63"/>
  <c r="F25" s="1"/>
  <c r="AO63"/>
  <c r="AR63"/>
  <c r="X25" s="1"/>
  <c r="AX63"/>
  <c r="AA25" s="1"/>
  <c r="AB63"/>
  <c r="P25" s="1"/>
  <c r="O63"/>
  <c r="AN63"/>
  <c r="V25" s="1"/>
  <c r="W63"/>
  <c r="E63"/>
  <c r="BE63"/>
  <c r="B25"/>
  <c r="B49" i="18" s="1"/>
  <c r="B83" s="1"/>
  <c r="AF63" i="20"/>
  <c r="R25" s="1"/>
  <c r="BC63"/>
  <c r="BH63"/>
  <c r="AF25" s="1"/>
  <c r="AZ63"/>
  <c r="AB25" s="1"/>
  <c r="BK63"/>
  <c r="P63"/>
  <c r="J25" s="1"/>
  <c r="BA63"/>
  <c r="AW63"/>
  <c r="AG63"/>
  <c r="S63"/>
  <c r="BI63"/>
  <c r="BG63"/>
  <c r="AM63"/>
  <c r="BF63"/>
  <c r="AE25" s="1"/>
  <c r="R63"/>
  <c r="K25" s="1"/>
  <c r="AE63"/>
  <c r="AC63"/>
  <c r="D63"/>
  <c r="D25" s="1"/>
  <c r="C25"/>
  <c r="BD63"/>
  <c r="AD25" s="1"/>
  <c r="BB63"/>
  <c r="AC25" s="1"/>
  <c r="AH63"/>
  <c r="S25" s="1"/>
  <c r="AY63"/>
  <c r="L63"/>
  <c r="H25" s="1"/>
  <c r="AU63"/>
  <c r="N63"/>
  <c r="I25" s="1"/>
  <c r="AL63"/>
  <c r="U25" s="1"/>
  <c r="X63"/>
  <c r="N25" s="1"/>
  <c r="I63"/>
  <c r="K63"/>
  <c r="AP63"/>
  <c r="W25" s="1"/>
  <c r="AT63"/>
  <c r="Y25" s="1"/>
  <c r="Y63"/>
  <c r="M63"/>
  <c r="AA63"/>
  <c r="AK63"/>
  <c r="AI63"/>
  <c r="F63"/>
  <c r="E25" s="1"/>
  <c r="AD63"/>
  <c r="Q25" s="1"/>
  <c r="G63"/>
  <c r="Q63"/>
  <c r="AV63"/>
  <c r="Z25" s="1"/>
  <c r="T63"/>
  <c r="L25" s="1"/>
  <c r="V63"/>
  <c r="M25" s="1"/>
  <c r="AJ63"/>
  <c r="T25" s="1"/>
  <c r="Z63"/>
  <c r="O25" s="1"/>
  <c r="AQ63"/>
  <c r="AS63"/>
  <c r="U63"/>
  <c r="A64"/>
  <c r="J63"/>
  <c r="G25" s="1"/>
  <c r="C48" i="18"/>
  <c r="S46"/>
  <c r="R45"/>
  <c r="R46"/>
  <c r="D46"/>
  <c r="L46"/>
  <c r="O46"/>
  <c r="H45"/>
  <c r="M46"/>
  <c r="Q46"/>
  <c r="K46"/>
  <c r="K45"/>
  <c r="S45"/>
  <c r="G46"/>
  <c r="G80" s="1"/>
  <c r="C79"/>
  <c r="E46"/>
  <c r="N46"/>
  <c r="O45"/>
  <c r="J46"/>
  <c r="I46"/>
  <c r="Q45"/>
  <c r="F46"/>
  <c r="I45"/>
  <c r="J45"/>
  <c r="H46"/>
  <c r="M45"/>
  <c r="P45"/>
  <c r="L45"/>
  <c r="N45"/>
  <c r="P46"/>
  <c r="G45"/>
  <c r="G79" s="1"/>
  <c r="E80"/>
  <c r="F80"/>
  <c r="D80"/>
  <c r="BF61" i="20"/>
  <c r="AE23" s="1"/>
  <c r="BG61"/>
  <c r="R61"/>
  <c r="K23" s="1"/>
  <c r="AK61"/>
  <c r="AV61"/>
  <c r="Z23" s="1"/>
  <c r="Z61"/>
  <c r="O23" s="1"/>
  <c r="BC61"/>
  <c r="AQ61"/>
  <c r="BE61"/>
  <c r="G61"/>
  <c r="AL61"/>
  <c r="U23" s="1"/>
  <c r="F61"/>
  <c r="E23" s="1"/>
  <c r="C47" i="18" s="1"/>
  <c r="C81" s="1"/>
  <c r="AF61" i="20"/>
  <c r="R23" s="1"/>
  <c r="BK61"/>
  <c r="BD61"/>
  <c r="AD23" s="1"/>
  <c r="D61"/>
  <c r="D23" s="1"/>
  <c r="AA61"/>
  <c r="N61"/>
  <c r="I23" s="1"/>
  <c r="AN61"/>
  <c r="V23" s="1"/>
  <c r="Y61"/>
  <c r="Q61"/>
  <c r="M61"/>
  <c r="AW61"/>
  <c r="AR61"/>
  <c r="X23" s="1"/>
  <c r="V61"/>
  <c r="M23" s="1"/>
  <c r="AC61"/>
  <c r="BH61"/>
  <c r="AF23" s="1"/>
  <c r="AM61"/>
  <c r="AB61"/>
  <c r="P23" s="1"/>
  <c r="K61"/>
  <c r="S61"/>
  <c r="U61"/>
  <c r="AI61"/>
  <c r="O61"/>
  <c r="AJ61"/>
  <c r="T23" s="1"/>
  <c r="B23"/>
  <c r="B47" i="18" s="1"/>
  <c r="B81" s="1"/>
  <c r="AS61" i="20"/>
  <c r="AX61"/>
  <c r="AA23" s="1"/>
  <c r="P61"/>
  <c r="J23" s="1"/>
  <c r="AZ61"/>
  <c r="AB23" s="1"/>
  <c r="AY61"/>
  <c r="BJ61"/>
  <c r="X61"/>
  <c r="N23" s="1"/>
  <c r="E61"/>
  <c r="AD61"/>
  <c r="Q23" s="1"/>
  <c r="AE61"/>
  <c r="J61"/>
  <c r="G23" s="1"/>
  <c r="L61"/>
  <c r="H23" s="1"/>
  <c r="BI61"/>
  <c r="C23"/>
  <c r="AP61"/>
  <c r="W23" s="1"/>
  <c r="T61"/>
  <c r="L23" s="1"/>
  <c r="I61"/>
  <c r="BB61"/>
  <c r="AC23" s="1"/>
  <c r="AH61"/>
  <c r="S23" s="1"/>
  <c r="AT61"/>
  <c r="Y23" s="1"/>
  <c r="BA61"/>
  <c r="H61"/>
  <c r="F23" s="1"/>
  <c r="W61"/>
  <c r="AG61"/>
  <c r="AU61"/>
  <c r="AO61"/>
  <c r="AI65"/>
  <c r="V65"/>
  <c r="M27" s="1"/>
  <c r="AG65"/>
  <c r="BH65"/>
  <c r="AF27" s="1"/>
  <c r="H65"/>
  <c r="F27" s="1"/>
  <c r="T65"/>
  <c r="L27" s="1"/>
  <c r="BC65"/>
  <c r="F65"/>
  <c r="E27" s="1"/>
  <c r="AB65"/>
  <c r="P27" s="1"/>
  <c r="AW65"/>
  <c r="AL65"/>
  <c r="U27" s="1"/>
  <c r="A66"/>
  <c r="Q65"/>
  <c r="C67"/>
  <c r="I65"/>
  <c r="BF65"/>
  <c r="AE27" s="1"/>
  <c r="P65"/>
  <c r="J27" s="1"/>
  <c r="O65"/>
  <c r="M65"/>
  <c r="N65"/>
  <c r="I27" s="1"/>
  <c r="AP65"/>
  <c r="W27" s="1"/>
  <c r="AH65"/>
  <c r="S27" s="1"/>
  <c r="AJ65"/>
  <c r="T27" s="1"/>
  <c r="AO65"/>
  <c r="AR65"/>
  <c r="X27" s="1"/>
  <c r="Y65"/>
  <c r="BG65"/>
  <c r="AK65"/>
  <c r="BB65"/>
  <c r="AC27" s="1"/>
  <c r="AX65"/>
  <c r="AA27" s="1"/>
  <c r="AQ65"/>
  <c r="AA65"/>
  <c r="BA65"/>
  <c r="AN65"/>
  <c r="V27" s="1"/>
  <c r="AT65"/>
  <c r="Y27" s="1"/>
  <c r="J65"/>
  <c r="G27" s="1"/>
  <c r="AZ65"/>
  <c r="AB27" s="1"/>
  <c r="L65"/>
  <c r="H27" s="1"/>
  <c r="R65"/>
  <c r="K27" s="1"/>
  <c r="AV65"/>
  <c r="Z27" s="1"/>
  <c r="U65"/>
  <c r="AM65"/>
  <c r="BE65"/>
  <c r="AC65"/>
  <c r="G65"/>
  <c r="X65"/>
  <c r="N27" s="1"/>
  <c r="BK65"/>
  <c r="AS65"/>
  <c r="BI65"/>
  <c r="AY65"/>
  <c r="Z65"/>
  <c r="O27" s="1"/>
  <c r="E65"/>
  <c r="BJ65"/>
  <c r="AF65"/>
  <c r="R27" s="1"/>
  <c r="K65"/>
  <c r="AD65"/>
  <c r="Q27" s="1"/>
  <c r="D65"/>
  <c r="D27" s="1"/>
  <c r="AE65"/>
  <c r="AU65"/>
  <c r="C66"/>
  <c r="S65"/>
  <c r="W65"/>
  <c r="BD65"/>
  <c r="AD27" s="1"/>
  <c r="B27"/>
  <c r="B51" i="18" s="1"/>
  <c r="B85" s="1"/>
  <c r="C65" i="20"/>
  <c r="C27"/>
  <c r="Q19" i="19"/>
  <c r="T18"/>
  <c r="S18"/>
  <c r="R18"/>
  <c r="C49" i="18" l="1"/>
  <c r="C83" s="1"/>
  <c r="P119"/>
  <c r="Q119"/>
  <c r="B119"/>
  <c r="D119"/>
  <c r="F119"/>
  <c r="C119"/>
  <c r="E119"/>
  <c r="S119"/>
  <c r="T119"/>
  <c r="G119"/>
  <c r="H114"/>
  <c r="I114"/>
  <c r="N114"/>
  <c r="L114"/>
  <c r="M114"/>
  <c r="K114"/>
  <c r="J114"/>
  <c r="L116"/>
  <c r="I116"/>
  <c r="K116"/>
  <c r="J116"/>
  <c r="M116"/>
  <c r="N116"/>
  <c r="H116"/>
  <c r="P117"/>
  <c r="Q117"/>
  <c r="B117"/>
  <c r="F117"/>
  <c r="T117"/>
  <c r="G117"/>
  <c r="S117"/>
  <c r="C117"/>
  <c r="D117"/>
  <c r="E117"/>
  <c r="I43"/>
  <c r="L43"/>
  <c r="J42"/>
  <c r="K43"/>
  <c r="H42"/>
  <c r="K42"/>
  <c r="J43"/>
  <c r="M42"/>
  <c r="M43"/>
  <c r="H43"/>
  <c r="L42"/>
  <c r="I42"/>
  <c r="W24" i="23"/>
  <c r="X24" s="1"/>
  <c r="Y23" s="1"/>
  <c r="T24"/>
  <c r="U24" s="1"/>
  <c r="V23" s="1"/>
  <c r="P25"/>
  <c r="Q24"/>
  <c r="AJ24"/>
  <c r="AK24" s="1"/>
  <c r="AL23" s="1"/>
  <c r="AG24"/>
  <c r="AH24" s="1"/>
  <c r="AI23" s="1"/>
  <c r="AD24"/>
  <c r="AC25"/>
  <c r="BW24"/>
  <c r="BX24" s="1"/>
  <c r="BY23" s="1"/>
  <c r="BT24"/>
  <c r="BU24" s="1"/>
  <c r="BV23" s="1"/>
  <c r="BP25"/>
  <c r="BQ24"/>
  <c r="J24"/>
  <c r="K24" s="1"/>
  <c r="L23" s="1"/>
  <c r="G24"/>
  <c r="H24" s="1"/>
  <c r="I23" s="1"/>
  <c r="D24"/>
  <c r="C25"/>
  <c r="BG24"/>
  <c r="BH24" s="1"/>
  <c r="BI23" s="1"/>
  <c r="BJ24"/>
  <c r="BK24" s="1"/>
  <c r="BL23" s="1"/>
  <c r="BC25"/>
  <c r="BD24"/>
  <c r="AT24"/>
  <c r="AU24" s="1"/>
  <c r="AV23" s="1"/>
  <c r="AW24"/>
  <c r="AX24" s="1"/>
  <c r="AY23" s="1"/>
  <c r="AQ24"/>
  <c r="AP25"/>
  <c r="A30" i="20"/>
  <c r="A54" i="18" s="1"/>
  <c r="A88" s="1"/>
  <c r="A71" i="20"/>
  <c r="B71"/>
  <c r="A33" s="1"/>
  <c r="A57" i="18" s="1"/>
  <c r="A91" s="1"/>
  <c r="U46"/>
  <c r="T46"/>
  <c r="G49"/>
  <c r="G83" s="1"/>
  <c r="F49"/>
  <c r="L48"/>
  <c r="C82"/>
  <c r="K49"/>
  <c r="D83"/>
  <c r="P48"/>
  <c r="M49"/>
  <c r="S48"/>
  <c r="L49"/>
  <c r="H48"/>
  <c r="O49"/>
  <c r="R49"/>
  <c r="P49"/>
  <c r="N49"/>
  <c r="I48"/>
  <c r="O48"/>
  <c r="K48"/>
  <c r="Q49"/>
  <c r="J48"/>
  <c r="M48"/>
  <c r="S49"/>
  <c r="Q48"/>
  <c r="J49"/>
  <c r="G48"/>
  <c r="G82" s="1"/>
  <c r="H49"/>
  <c r="I49"/>
  <c r="E49"/>
  <c r="E83"/>
  <c r="R48"/>
  <c r="D49"/>
  <c r="N48"/>
  <c r="F83"/>
  <c r="V66" i="20"/>
  <c r="M28" s="1"/>
  <c r="AP66"/>
  <c r="W28" s="1"/>
  <c r="BG66"/>
  <c r="AW66"/>
  <c r="G66"/>
  <c r="BC66"/>
  <c r="AS66"/>
  <c r="AB66"/>
  <c r="P28" s="1"/>
  <c r="F66"/>
  <c r="E28" s="1"/>
  <c r="J66"/>
  <c r="G28" s="1"/>
  <c r="BE66"/>
  <c r="AV66"/>
  <c r="Z28" s="1"/>
  <c r="BA66"/>
  <c r="AK66"/>
  <c r="AT66"/>
  <c r="Y28" s="1"/>
  <c r="E66"/>
  <c r="N66"/>
  <c r="I28" s="1"/>
  <c r="AD66"/>
  <c r="Q28" s="1"/>
  <c r="AQ66"/>
  <c r="AG66"/>
  <c r="A67"/>
  <c r="AM66"/>
  <c r="AC66"/>
  <c r="BH66"/>
  <c r="AF28" s="1"/>
  <c r="D66"/>
  <c r="D28" s="1"/>
  <c r="AY66"/>
  <c r="AO66"/>
  <c r="O66"/>
  <c r="P66"/>
  <c r="J28" s="1"/>
  <c r="H66"/>
  <c r="F28" s="1"/>
  <c r="AE66"/>
  <c r="C28"/>
  <c r="BK66"/>
  <c r="AA66"/>
  <c r="BF66"/>
  <c r="AE28" s="1"/>
  <c r="M66"/>
  <c r="AX66"/>
  <c r="AA28" s="1"/>
  <c r="Y66"/>
  <c r="T66"/>
  <c r="L28" s="1"/>
  <c r="U66"/>
  <c r="BJ66"/>
  <c r="Q66"/>
  <c r="W66"/>
  <c r="BD66"/>
  <c r="AD28" s="1"/>
  <c r="AI66"/>
  <c r="AF66"/>
  <c r="R28" s="1"/>
  <c r="AN66"/>
  <c r="V28" s="1"/>
  <c r="BB66"/>
  <c r="AC28" s="1"/>
  <c r="K66"/>
  <c r="AL66"/>
  <c r="U28" s="1"/>
  <c r="X66"/>
  <c r="N28" s="1"/>
  <c r="Z66"/>
  <c r="O28" s="1"/>
  <c r="I66"/>
  <c r="AU66"/>
  <c r="L66"/>
  <c r="H28" s="1"/>
  <c r="AH66"/>
  <c r="S28" s="1"/>
  <c r="AZ66"/>
  <c r="AB28" s="1"/>
  <c r="AR66"/>
  <c r="X28" s="1"/>
  <c r="AJ66"/>
  <c r="T28" s="1"/>
  <c r="R66"/>
  <c r="K28" s="1"/>
  <c r="BI66"/>
  <c r="S66"/>
  <c r="B28"/>
  <c r="B52" i="18" s="1"/>
  <c r="B86" s="1"/>
  <c r="C51"/>
  <c r="U45"/>
  <c r="T45"/>
  <c r="AK68" i="20"/>
  <c r="AE68"/>
  <c r="AL68"/>
  <c r="U30" s="1"/>
  <c r="X68"/>
  <c r="N30" s="1"/>
  <c r="M68"/>
  <c r="AH68"/>
  <c r="S30" s="1"/>
  <c r="V68"/>
  <c r="M30" s="1"/>
  <c r="AG68"/>
  <c r="G68"/>
  <c r="T68"/>
  <c r="L30" s="1"/>
  <c r="S68"/>
  <c r="P68"/>
  <c r="J30" s="1"/>
  <c r="K68"/>
  <c r="AZ68"/>
  <c r="AB30" s="1"/>
  <c r="I68"/>
  <c r="F68"/>
  <c r="E30" s="1"/>
  <c r="AB68"/>
  <c r="P30" s="1"/>
  <c r="U68"/>
  <c r="O68"/>
  <c r="AP68"/>
  <c r="W30" s="1"/>
  <c r="BI68"/>
  <c r="BC68"/>
  <c r="BB68"/>
  <c r="AC30" s="1"/>
  <c r="J68"/>
  <c r="G30" s="1"/>
  <c r="BG68"/>
  <c r="C70"/>
  <c r="BE68"/>
  <c r="C30"/>
  <c r="AW68"/>
  <c r="N68"/>
  <c r="I30" s="1"/>
  <c r="AF68"/>
  <c r="R30" s="1"/>
  <c r="AI68"/>
  <c r="C69"/>
  <c r="BA68"/>
  <c r="AX68"/>
  <c r="AA30" s="1"/>
  <c r="AC68"/>
  <c r="BF68"/>
  <c r="AE30" s="1"/>
  <c r="AD68"/>
  <c r="Q30" s="1"/>
  <c r="AY68"/>
  <c r="AQ68"/>
  <c r="AO68"/>
  <c r="AU68"/>
  <c r="AJ68"/>
  <c r="T30" s="1"/>
  <c r="W68"/>
  <c r="AV68"/>
  <c r="Z30" s="1"/>
  <c r="AR68"/>
  <c r="X30" s="1"/>
  <c r="AN68"/>
  <c r="V30" s="1"/>
  <c r="A69"/>
  <c r="AT68"/>
  <c r="Y30" s="1"/>
  <c r="H68"/>
  <c r="F30" s="1"/>
  <c r="R68"/>
  <c r="K30" s="1"/>
  <c r="Q68"/>
  <c r="BK68"/>
  <c r="B30"/>
  <c r="B54" i="18" s="1"/>
  <c r="B88" s="1"/>
  <c r="AM68" i="20"/>
  <c r="E68"/>
  <c r="BH68"/>
  <c r="AF30" s="1"/>
  <c r="BD68"/>
  <c r="AD30" s="1"/>
  <c r="D68"/>
  <c r="D30" s="1"/>
  <c r="BJ68"/>
  <c r="AS68"/>
  <c r="Y68"/>
  <c r="L68"/>
  <c r="H30" s="1"/>
  <c r="Z68"/>
  <c r="O30" s="1"/>
  <c r="AA68"/>
  <c r="C68"/>
  <c r="R80" i="18"/>
  <c r="Q80"/>
  <c r="P79"/>
  <c r="R79"/>
  <c r="S80"/>
  <c r="Q79"/>
  <c r="P80"/>
  <c r="S79"/>
  <c r="H79"/>
  <c r="J80"/>
  <c r="K79"/>
  <c r="M80"/>
  <c r="J79"/>
  <c r="O79"/>
  <c r="I79"/>
  <c r="N80"/>
  <c r="L79"/>
  <c r="K80"/>
  <c r="I80"/>
  <c r="M79"/>
  <c r="O80"/>
  <c r="L80"/>
  <c r="H80"/>
  <c r="N79"/>
  <c r="AN64" i="20"/>
  <c r="V26" s="1"/>
  <c r="U64"/>
  <c r="O64"/>
  <c r="F64"/>
  <c r="E26" s="1"/>
  <c r="C50" i="18" s="1"/>
  <c r="C84" s="1"/>
  <c r="X64" i="20"/>
  <c r="N26" s="1"/>
  <c r="Q64"/>
  <c r="K64"/>
  <c r="G64"/>
  <c r="BC64"/>
  <c r="E64"/>
  <c r="Y64"/>
  <c r="R64"/>
  <c r="K26" s="1"/>
  <c r="M64"/>
  <c r="C26"/>
  <c r="L64"/>
  <c r="H26" s="1"/>
  <c r="BK64"/>
  <c r="AT64"/>
  <c r="Y26" s="1"/>
  <c r="B26"/>
  <c r="B50" i="18" s="1"/>
  <c r="B84" s="1"/>
  <c r="H64" i="20"/>
  <c r="F26" s="1"/>
  <c r="BG64"/>
  <c r="AP64"/>
  <c r="W26" s="1"/>
  <c r="AF64"/>
  <c r="R26" s="1"/>
  <c r="W64"/>
  <c r="BH64"/>
  <c r="AF26" s="1"/>
  <c r="AY64"/>
  <c r="AV64"/>
  <c r="Z26" s="1"/>
  <c r="AM64"/>
  <c r="I64"/>
  <c r="P64"/>
  <c r="J26" s="1"/>
  <c r="BA64"/>
  <c r="N64"/>
  <c r="I26" s="1"/>
  <c r="AW64"/>
  <c r="BB64"/>
  <c r="AC26" s="1"/>
  <c r="J64"/>
  <c r="G26" s="1"/>
  <c r="S64"/>
  <c r="BJ64"/>
  <c r="AI64"/>
  <c r="AU64"/>
  <c r="AZ64"/>
  <c r="AB26" s="1"/>
  <c r="AQ64"/>
  <c r="BI64"/>
  <c r="AB64"/>
  <c r="P26" s="1"/>
  <c r="T64"/>
  <c r="L26" s="1"/>
  <c r="D64"/>
  <c r="D26" s="1"/>
  <c r="AO64"/>
  <c r="AE64"/>
  <c r="AK64"/>
  <c r="AH64"/>
  <c r="S26" s="1"/>
  <c r="AG64"/>
  <c r="AX64"/>
  <c r="AA26" s="1"/>
  <c r="Z64"/>
  <c r="O26" s="1"/>
  <c r="V64"/>
  <c r="M26" s="1"/>
  <c r="AL64"/>
  <c r="U26" s="1"/>
  <c r="AD64"/>
  <c r="Q26" s="1"/>
  <c r="AJ64"/>
  <c r="T26" s="1"/>
  <c r="BE64"/>
  <c r="AR64"/>
  <c r="X26" s="1"/>
  <c r="BD64"/>
  <c r="AD26" s="1"/>
  <c r="AA64"/>
  <c r="AC64"/>
  <c r="AS64"/>
  <c r="BF64"/>
  <c r="AE26" s="1"/>
  <c r="Q20" i="19"/>
  <c r="S19"/>
  <c r="T19"/>
  <c r="R19"/>
  <c r="Q120" i="18" l="1"/>
  <c r="P120"/>
  <c r="D120"/>
  <c r="G120"/>
  <c r="C120"/>
  <c r="E120"/>
  <c r="F120"/>
  <c r="S120"/>
  <c r="B120"/>
  <c r="T120"/>
  <c r="H117"/>
  <c r="M117"/>
  <c r="N117"/>
  <c r="J117"/>
  <c r="K117"/>
  <c r="L117"/>
  <c r="I117"/>
  <c r="Q122"/>
  <c r="P122"/>
  <c r="S122"/>
  <c r="F122"/>
  <c r="T122"/>
  <c r="G122"/>
  <c r="B122"/>
  <c r="D122"/>
  <c r="E122"/>
  <c r="C122"/>
  <c r="L119"/>
  <c r="N119"/>
  <c r="I119"/>
  <c r="J119"/>
  <c r="K119"/>
  <c r="M119"/>
  <c r="H119"/>
  <c r="U80"/>
  <c r="T80"/>
  <c r="U79"/>
  <c r="T79"/>
  <c r="AT25" i="23"/>
  <c r="AU25" s="1"/>
  <c r="AV24" s="1"/>
  <c r="AW25"/>
  <c r="AX25" s="1"/>
  <c r="AY24" s="1"/>
  <c r="AQ25"/>
  <c r="AP26"/>
  <c r="BG25"/>
  <c r="BH25" s="1"/>
  <c r="BI24" s="1"/>
  <c r="BJ25"/>
  <c r="BK25" s="1"/>
  <c r="BL24" s="1"/>
  <c r="BD25"/>
  <c r="BC26"/>
  <c r="BT25"/>
  <c r="BU25" s="1"/>
  <c r="BV24" s="1"/>
  <c r="BW25"/>
  <c r="BX25" s="1"/>
  <c r="BY24" s="1"/>
  <c r="BP26"/>
  <c r="BQ25"/>
  <c r="G25"/>
  <c r="H25" s="1"/>
  <c r="I24" s="1"/>
  <c r="J25"/>
  <c r="K25" s="1"/>
  <c r="L24" s="1"/>
  <c r="C26"/>
  <c r="D25"/>
  <c r="AG25"/>
  <c r="AH25" s="1"/>
  <c r="AI24" s="1"/>
  <c r="AJ25"/>
  <c r="AK25" s="1"/>
  <c r="AL24" s="1"/>
  <c r="AD25"/>
  <c r="AC26"/>
  <c r="W25"/>
  <c r="X25" s="1"/>
  <c r="Y24" s="1"/>
  <c r="T25"/>
  <c r="U25" s="1"/>
  <c r="V24" s="1"/>
  <c r="Q25"/>
  <c r="P26"/>
  <c r="V69" i="20"/>
  <c r="M31" s="1"/>
  <c r="AH69"/>
  <c r="S31" s="1"/>
  <c r="AV69"/>
  <c r="Z31" s="1"/>
  <c r="M69"/>
  <c r="AL69"/>
  <c r="U31" s="1"/>
  <c r="AZ69"/>
  <c r="AB31" s="1"/>
  <c r="AO69"/>
  <c r="L69"/>
  <c r="H31" s="1"/>
  <c r="AU69"/>
  <c r="BF69"/>
  <c r="AE31" s="1"/>
  <c r="BA69"/>
  <c r="AP69"/>
  <c r="W31" s="1"/>
  <c r="C31"/>
  <c r="BB69"/>
  <c r="AC31" s="1"/>
  <c r="AM69"/>
  <c r="AY69"/>
  <c r="AK69"/>
  <c r="K69"/>
  <c r="AJ69"/>
  <c r="T31" s="1"/>
  <c r="BI69"/>
  <c r="A70"/>
  <c r="AS69"/>
  <c r="O69"/>
  <c r="AI69"/>
  <c r="D69"/>
  <c r="D31" s="1"/>
  <c r="Q69"/>
  <c r="AA69"/>
  <c r="W69"/>
  <c r="AE69"/>
  <c r="BD69"/>
  <c r="AD31" s="1"/>
  <c r="H69"/>
  <c r="F31" s="1"/>
  <c r="E69"/>
  <c r="AG69"/>
  <c r="T69"/>
  <c r="L31" s="1"/>
  <c r="BE69"/>
  <c r="G69"/>
  <c r="BJ69"/>
  <c r="N69"/>
  <c r="I31" s="1"/>
  <c r="S69"/>
  <c r="P69"/>
  <c r="J31" s="1"/>
  <c r="AQ69"/>
  <c r="Z69"/>
  <c r="O31" s="1"/>
  <c r="AT69"/>
  <c r="Y31" s="1"/>
  <c r="BH69"/>
  <c r="AF31" s="1"/>
  <c r="AB69"/>
  <c r="P31" s="1"/>
  <c r="AC69"/>
  <c r="AW69"/>
  <c r="J69"/>
  <c r="G31" s="1"/>
  <c r="Y69"/>
  <c r="AF69"/>
  <c r="R31" s="1"/>
  <c r="BG69"/>
  <c r="B31"/>
  <c r="B55" i="18" s="1"/>
  <c r="B89" s="1"/>
  <c r="AN69" i="20"/>
  <c r="V31" s="1"/>
  <c r="AX69"/>
  <c r="AA31" s="1"/>
  <c r="BK69"/>
  <c r="AR69"/>
  <c r="X31" s="1"/>
  <c r="BC69"/>
  <c r="AD69"/>
  <c r="Q31" s="1"/>
  <c r="U69"/>
  <c r="X69"/>
  <c r="N31" s="1"/>
  <c r="F69"/>
  <c r="E31" s="1"/>
  <c r="C55" i="18" s="1"/>
  <c r="C89" s="1"/>
  <c r="R69" i="20"/>
  <c r="K31" s="1"/>
  <c r="I69"/>
  <c r="C54" i="18"/>
  <c r="V45"/>
  <c r="T42"/>
  <c r="U42"/>
  <c r="T49"/>
  <c r="U49"/>
  <c r="T43"/>
  <c r="U43"/>
  <c r="Z71" i="20"/>
  <c r="O33" s="1"/>
  <c r="BB71"/>
  <c r="AC33" s="1"/>
  <c r="L71"/>
  <c r="H33" s="1"/>
  <c r="AX71"/>
  <c r="AA33" s="1"/>
  <c r="W71"/>
  <c r="I71"/>
  <c r="AU71"/>
  <c r="AP71"/>
  <c r="W33" s="1"/>
  <c r="BA71"/>
  <c r="AV71"/>
  <c r="Z33" s="1"/>
  <c r="AZ71"/>
  <c r="AB33" s="1"/>
  <c r="AE71"/>
  <c r="AI71"/>
  <c r="D71"/>
  <c r="D33" s="1"/>
  <c r="K71"/>
  <c r="V71"/>
  <c r="M33" s="1"/>
  <c r="X71"/>
  <c r="N33" s="1"/>
  <c r="AM71"/>
  <c r="AT71"/>
  <c r="Y33" s="1"/>
  <c r="AO71"/>
  <c r="B33"/>
  <c r="B57" i="18" s="1"/>
  <c r="B91" s="1"/>
  <c r="U71" i="20"/>
  <c r="BF71"/>
  <c r="AE33" s="1"/>
  <c r="BC71"/>
  <c r="A72"/>
  <c r="AH71"/>
  <c r="S33" s="1"/>
  <c r="C73"/>
  <c r="C72"/>
  <c r="AB71"/>
  <c r="P33" s="1"/>
  <c r="M71"/>
  <c r="BG71"/>
  <c r="AN71"/>
  <c r="V33" s="1"/>
  <c r="O71"/>
  <c r="AD71"/>
  <c r="Q33" s="1"/>
  <c r="AC71"/>
  <c r="G71"/>
  <c r="S71"/>
  <c r="J71"/>
  <c r="G33" s="1"/>
  <c r="AA71"/>
  <c r="F71"/>
  <c r="E33" s="1"/>
  <c r="BE71"/>
  <c r="AK71"/>
  <c r="AF71"/>
  <c r="R33" s="1"/>
  <c r="C71"/>
  <c r="AJ71"/>
  <c r="T33" s="1"/>
  <c r="AL71"/>
  <c r="U33" s="1"/>
  <c r="Y71"/>
  <c r="H71"/>
  <c r="F33" s="1"/>
  <c r="BD71"/>
  <c r="AD33" s="1"/>
  <c r="R71"/>
  <c r="K33" s="1"/>
  <c r="BJ71"/>
  <c r="BK71"/>
  <c r="P71"/>
  <c r="J33" s="1"/>
  <c r="AG71"/>
  <c r="N71"/>
  <c r="I33" s="1"/>
  <c r="AW71"/>
  <c r="AS71"/>
  <c r="E71"/>
  <c r="T71"/>
  <c r="L33" s="1"/>
  <c r="AY71"/>
  <c r="BH71"/>
  <c r="AF33" s="1"/>
  <c r="AQ71"/>
  <c r="Q71"/>
  <c r="BI71"/>
  <c r="C33"/>
  <c r="AR71"/>
  <c r="X33" s="1"/>
  <c r="AW67"/>
  <c r="AX67"/>
  <c r="AA29" s="1"/>
  <c r="AD67"/>
  <c r="Q29" s="1"/>
  <c r="P67"/>
  <c r="J29" s="1"/>
  <c r="B29"/>
  <c r="B53" i="18" s="1"/>
  <c r="B87" s="1"/>
  <c r="AY67" i="20"/>
  <c r="AR67"/>
  <c r="X29" s="1"/>
  <c r="S67"/>
  <c r="AI67"/>
  <c r="E67"/>
  <c r="AT67"/>
  <c r="Y29" s="1"/>
  <c r="AV67"/>
  <c r="Z29" s="1"/>
  <c r="M67"/>
  <c r="AC67"/>
  <c r="BH67"/>
  <c r="AF29" s="1"/>
  <c r="W67"/>
  <c r="BI67"/>
  <c r="L67"/>
  <c r="H29" s="1"/>
  <c r="BB67"/>
  <c r="AC29" s="1"/>
  <c r="BF67"/>
  <c r="AE29" s="1"/>
  <c r="BD67"/>
  <c r="AD29" s="1"/>
  <c r="C29"/>
  <c r="F67"/>
  <c r="E29" s="1"/>
  <c r="AB67"/>
  <c r="P29" s="1"/>
  <c r="BC67"/>
  <c r="AG67"/>
  <c r="BE67"/>
  <c r="K67"/>
  <c r="O67"/>
  <c r="AS67"/>
  <c r="BJ67"/>
  <c r="N67"/>
  <c r="I29" s="1"/>
  <c r="G67"/>
  <c r="T67"/>
  <c r="L29" s="1"/>
  <c r="AF67"/>
  <c r="R29" s="1"/>
  <c r="AP67"/>
  <c r="W29" s="1"/>
  <c r="H67"/>
  <c r="F29" s="1"/>
  <c r="D67"/>
  <c r="D29" s="1"/>
  <c r="AZ67"/>
  <c r="AB29" s="1"/>
  <c r="Y67"/>
  <c r="AJ67"/>
  <c r="T29" s="1"/>
  <c r="Q67"/>
  <c r="Z67"/>
  <c r="O29" s="1"/>
  <c r="AA67"/>
  <c r="AH67"/>
  <c r="S29" s="1"/>
  <c r="V67"/>
  <c r="M29" s="1"/>
  <c r="AL67"/>
  <c r="U29" s="1"/>
  <c r="BK67"/>
  <c r="AM67"/>
  <c r="BA67"/>
  <c r="R67"/>
  <c r="K29" s="1"/>
  <c r="BG67"/>
  <c r="J67"/>
  <c r="G29" s="1"/>
  <c r="AO67"/>
  <c r="AK67"/>
  <c r="AQ67"/>
  <c r="I67"/>
  <c r="AN67"/>
  <c r="V29" s="1"/>
  <c r="AU67"/>
  <c r="U67"/>
  <c r="X67"/>
  <c r="N29" s="1"/>
  <c r="AE67"/>
  <c r="C52" i="18"/>
  <c r="C86" s="1"/>
  <c r="P83"/>
  <c r="R83"/>
  <c r="L82"/>
  <c r="S82"/>
  <c r="H83"/>
  <c r="H82"/>
  <c r="R82"/>
  <c r="S83"/>
  <c r="O83"/>
  <c r="I83"/>
  <c r="O82"/>
  <c r="M83"/>
  <c r="Q82"/>
  <c r="N82"/>
  <c r="L83"/>
  <c r="K83"/>
  <c r="J82"/>
  <c r="M82"/>
  <c r="Q83"/>
  <c r="J83"/>
  <c r="N83"/>
  <c r="P82"/>
  <c r="I82"/>
  <c r="K82"/>
  <c r="V46"/>
  <c r="N52"/>
  <c r="J51"/>
  <c r="G52"/>
  <c r="G86" s="1"/>
  <c r="S52"/>
  <c r="Q51"/>
  <c r="I51"/>
  <c r="H52"/>
  <c r="D86"/>
  <c r="O52"/>
  <c r="H51"/>
  <c r="K52"/>
  <c r="R51"/>
  <c r="O51"/>
  <c r="N51"/>
  <c r="E86"/>
  <c r="M52"/>
  <c r="L51"/>
  <c r="I52"/>
  <c r="F86"/>
  <c r="R52"/>
  <c r="K51"/>
  <c r="P52"/>
  <c r="C85"/>
  <c r="P51"/>
  <c r="M51"/>
  <c r="L52"/>
  <c r="E52"/>
  <c r="J52"/>
  <c r="F52"/>
  <c r="Q52"/>
  <c r="D52"/>
  <c r="S51"/>
  <c r="G51"/>
  <c r="G85" s="1"/>
  <c r="T48"/>
  <c r="U48"/>
  <c r="Q21" i="19"/>
  <c r="T20"/>
  <c r="R20"/>
  <c r="S20"/>
  <c r="H120" i="18" l="1"/>
  <c r="J120"/>
  <c r="M120"/>
  <c r="K120"/>
  <c r="N120"/>
  <c r="I120"/>
  <c r="L120"/>
  <c r="P125"/>
  <c r="Q125"/>
  <c r="B125"/>
  <c r="E125"/>
  <c r="C125"/>
  <c r="D125"/>
  <c r="S125"/>
  <c r="F125"/>
  <c r="T125"/>
  <c r="G125"/>
  <c r="P123"/>
  <c r="Q123"/>
  <c r="B123"/>
  <c r="T123"/>
  <c r="D123"/>
  <c r="C123"/>
  <c r="S123"/>
  <c r="E123"/>
  <c r="F123"/>
  <c r="G123"/>
  <c r="L122"/>
  <c r="K122"/>
  <c r="J122"/>
  <c r="M122"/>
  <c r="N122"/>
  <c r="H122"/>
  <c r="I122"/>
  <c r="V79"/>
  <c r="U83"/>
  <c r="T83"/>
  <c r="V80"/>
  <c r="T82"/>
  <c r="U82"/>
  <c r="AJ26" i="23"/>
  <c r="AK26" s="1"/>
  <c r="AL25" s="1"/>
  <c r="AG26"/>
  <c r="AH26" s="1"/>
  <c r="AI25" s="1"/>
  <c r="AD26"/>
  <c r="AC27"/>
  <c r="G26"/>
  <c r="H26" s="1"/>
  <c r="I25" s="1"/>
  <c r="J26"/>
  <c r="K26" s="1"/>
  <c r="L25" s="1"/>
  <c r="D26"/>
  <c r="C27"/>
  <c r="W26"/>
  <c r="X26" s="1"/>
  <c r="Y25" s="1"/>
  <c r="T26"/>
  <c r="U26" s="1"/>
  <c r="V25" s="1"/>
  <c r="Q26"/>
  <c r="P27"/>
  <c r="BT26"/>
  <c r="BU26" s="1"/>
  <c r="BV25" s="1"/>
  <c r="BW26"/>
  <c r="BX26" s="1"/>
  <c r="BY25" s="1"/>
  <c r="BP27"/>
  <c r="BQ26"/>
  <c r="AW26"/>
  <c r="AX26" s="1"/>
  <c r="AY25" s="1"/>
  <c r="AT26"/>
  <c r="AU26" s="1"/>
  <c r="AV25" s="1"/>
  <c r="AQ26"/>
  <c r="AP27"/>
  <c r="BJ26"/>
  <c r="BK26" s="1"/>
  <c r="BL25" s="1"/>
  <c r="BG26"/>
  <c r="BH26" s="1"/>
  <c r="BI25" s="1"/>
  <c r="BC27"/>
  <c r="BD26"/>
  <c r="V43" i="18"/>
  <c r="H72" i="20"/>
  <c r="F34" s="1"/>
  <c r="BG72"/>
  <c r="R72"/>
  <c r="K34" s="1"/>
  <c r="D72"/>
  <c r="D34" s="1"/>
  <c r="P72"/>
  <c r="J34" s="1"/>
  <c r="M72"/>
  <c r="AL72"/>
  <c r="U34" s="1"/>
  <c r="AZ72"/>
  <c r="AB34" s="1"/>
  <c r="AO72"/>
  <c r="AI72"/>
  <c r="Z72"/>
  <c r="O34" s="1"/>
  <c r="AB72"/>
  <c r="P34" s="1"/>
  <c r="AK72"/>
  <c r="AE72"/>
  <c r="N72"/>
  <c r="I34" s="1"/>
  <c r="AP72"/>
  <c r="W34" s="1"/>
  <c r="S72"/>
  <c r="T72"/>
  <c r="L34" s="1"/>
  <c r="O72"/>
  <c r="AN72"/>
  <c r="V34" s="1"/>
  <c r="Q72"/>
  <c r="K72"/>
  <c r="AX72"/>
  <c r="AA34" s="1"/>
  <c r="X72"/>
  <c r="N34" s="1"/>
  <c r="AC72"/>
  <c r="A73"/>
  <c r="BE72"/>
  <c r="AY72"/>
  <c r="J72"/>
  <c r="G34" s="1"/>
  <c r="BH72"/>
  <c r="AF34" s="1"/>
  <c r="BA72"/>
  <c r="AT72"/>
  <c r="Y34" s="1"/>
  <c r="BD72"/>
  <c r="AD34" s="1"/>
  <c r="AW72"/>
  <c r="AQ72"/>
  <c r="B34"/>
  <c r="B58" i="18" s="1"/>
  <c r="B92" s="1"/>
  <c r="BI72" i="20"/>
  <c r="BC72"/>
  <c r="BJ72"/>
  <c r="AR72"/>
  <c r="X34" s="1"/>
  <c r="Y72"/>
  <c r="E72"/>
  <c r="U72"/>
  <c r="AD72"/>
  <c r="Q34" s="1"/>
  <c r="AV72"/>
  <c r="Z34" s="1"/>
  <c r="AG72"/>
  <c r="AA72"/>
  <c r="BB72"/>
  <c r="AC34" s="1"/>
  <c r="AJ72"/>
  <c r="T34" s="1"/>
  <c r="AS72"/>
  <c r="AM72"/>
  <c r="AH72"/>
  <c r="S34" s="1"/>
  <c r="AF72"/>
  <c r="R34" s="1"/>
  <c r="I72"/>
  <c r="BF72"/>
  <c r="AE34" s="1"/>
  <c r="C34"/>
  <c r="L72"/>
  <c r="H34" s="1"/>
  <c r="BK72"/>
  <c r="V72"/>
  <c r="M34" s="1"/>
  <c r="G72"/>
  <c r="W72"/>
  <c r="AU72"/>
  <c r="F72"/>
  <c r="E34" s="1"/>
  <c r="V42" i="18"/>
  <c r="V49"/>
  <c r="V48"/>
  <c r="U51"/>
  <c r="T51"/>
  <c r="C57"/>
  <c r="BF70" i="20"/>
  <c r="AE32" s="1"/>
  <c r="J70"/>
  <c r="G32" s="1"/>
  <c r="BI70"/>
  <c r="BD70"/>
  <c r="AD32" s="1"/>
  <c r="C32"/>
  <c r="AY70"/>
  <c r="AO70"/>
  <c r="AZ70"/>
  <c r="AB32" s="1"/>
  <c r="V70"/>
  <c r="M32" s="1"/>
  <c r="AE70"/>
  <c r="U70"/>
  <c r="AV70"/>
  <c r="Z32" s="1"/>
  <c r="AP70"/>
  <c r="W32" s="1"/>
  <c r="AA70"/>
  <c r="Q70"/>
  <c r="F70"/>
  <c r="E32" s="1"/>
  <c r="M70"/>
  <c r="AT70"/>
  <c r="Y32" s="1"/>
  <c r="AN70"/>
  <c r="V32" s="1"/>
  <c r="AU70"/>
  <c r="AB70"/>
  <c r="P32" s="1"/>
  <c r="AQ70"/>
  <c r="X70"/>
  <c r="N32" s="1"/>
  <c r="AL70"/>
  <c r="U32" s="1"/>
  <c r="BC70"/>
  <c r="AS70"/>
  <c r="P70"/>
  <c r="J32" s="1"/>
  <c r="B32"/>
  <c r="B56" i="18" s="1"/>
  <c r="B90" s="1"/>
  <c r="AI70" i="20"/>
  <c r="Y70"/>
  <c r="L70"/>
  <c r="H32" s="1"/>
  <c r="N70"/>
  <c r="I32" s="1"/>
  <c r="O70"/>
  <c r="AJ70"/>
  <c r="T32" s="1"/>
  <c r="G70"/>
  <c r="AD70"/>
  <c r="Q32" s="1"/>
  <c r="K70"/>
  <c r="H70"/>
  <c r="F32" s="1"/>
  <c r="D70"/>
  <c r="D32" s="1"/>
  <c r="Z70"/>
  <c r="O32" s="1"/>
  <c r="AM70"/>
  <c r="AC70"/>
  <c r="AF70"/>
  <c r="R32" s="1"/>
  <c r="BB70"/>
  <c r="AC32" s="1"/>
  <c r="S70"/>
  <c r="I70"/>
  <c r="E70"/>
  <c r="BK70"/>
  <c r="BA70"/>
  <c r="AR70"/>
  <c r="X32" s="1"/>
  <c r="BJ70"/>
  <c r="BG70"/>
  <c r="AW70"/>
  <c r="BH70"/>
  <c r="AF32" s="1"/>
  <c r="R70"/>
  <c r="K32" s="1"/>
  <c r="W70"/>
  <c r="T70"/>
  <c r="L32" s="1"/>
  <c r="BE70"/>
  <c r="AH70"/>
  <c r="S32" s="1"/>
  <c r="AK70"/>
  <c r="AX70"/>
  <c r="AA32" s="1"/>
  <c r="AG70"/>
  <c r="J85" i="18"/>
  <c r="M85"/>
  <c r="S85"/>
  <c r="K85"/>
  <c r="J86"/>
  <c r="R85"/>
  <c r="N86"/>
  <c r="M86"/>
  <c r="P86"/>
  <c r="I86"/>
  <c r="Q85"/>
  <c r="P85"/>
  <c r="H85"/>
  <c r="S86"/>
  <c r="R86"/>
  <c r="O86"/>
  <c r="K86"/>
  <c r="I85"/>
  <c r="L86"/>
  <c r="L85"/>
  <c r="H86"/>
  <c r="O85"/>
  <c r="N85"/>
  <c r="Q86"/>
  <c r="U52"/>
  <c r="T52"/>
  <c r="C53"/>
  <c r="C87" s="1"/>
  <c r="J55"/>
  <c r="L55"/>
  <c r="R54"/>
  <c r="I54"/>
  <c r="E55"/>
  <c r="P55"/>
  <c r="Q54"/>
  <c r="N54"/>
  <c r="Q55"/>
  <c r="M54"/>
  <c r="R55"/>
  <c r="C88"/>
  <c r="S55"/>
  <c r="E89"/>
  <c r="K55"/>
  <c r="O55"/>
  <c r="P54"/>
  <c r="M55"/>
  <c r="O54"/>
  <c r="J54"/>
  <c r="D55"/>
  <c r="F89"/>
  <c r="I55"/>
  <c r="H54"/>
  <c r="L54"/>
  <c r="K54"/>
  <c r="S54"/>
  <c r="H55"/>
  <c r="G54"/>
  <c r="G88" s="1"/>
  <c r="F55"/>
  <c r="N55"/>
  <c r="D89"/>
  <c r="G55"/>
  <c r="G89" s="1"/>
  <c r="Q22" i="19"/>
  <c r="S21"/>
  <c r="R21"/>
  <c r="T21"/>
  <c r="L125" i="18" l="1"/>
  <c r="J125"/>
  <c r="H125"/>
  <c r="M125"/>
  <c r="K125"/>
  <c r="I125"/>
  <c r="N125"/>
  <c r="Q126"/>
  <c r="P126"/>
  <c r="D126"/>
  <c r="B126"/>
  <c r="T126"/>
  <c r="E126"/>
  <c r="G126"/>
  <c r="F126"/>
  <c r="S126"/>
  <c r="C126"/>
  <c r="H123"/>
  <c r="M123"/>
  <c r="I123"/>
  <c r="K123"/>
  <c r="N123"/>
  <c r="J123"/>
  <c r="L123"/>
  <c r="V82"/>
  <c r="V83"/>
  <c r="T86"/>
  <c r="U86"/>
  <c r="U85"/>
  <c r="T85"/>
  <c r="BW27" i="23"/>
  <c r="BX27" s="1"/>
  <c r="BY26" s="1"/>
  <c r="BT27"/>
  <c r="BU27" s="1"/>
  <c r="BV26" s="1"/>
  <c r="BP28"/>
  <c r="BQ27"/>
  <c r="J27"/>
  <c r="K27" s="1"/>
  <c r="L26" s="1"/>
  <c r="G27"/>
  <c r="H27" s="1"/>
  <c r="I26" s="1"/>
  <c r="D27"/>
  <c r="C28"/>
  <c r="AG27"/>
  <c r="AH27" s="1"/>
  <c r="AI26" s="1"/>
  <c r="AJ27"/>
  <c r="AK27" s="1"/>
  <c r="AL26" s="1"/>
  <c r="AC28"/>
  <c r="AD27"/>
  <c r="BJ27"/>
  <c r="BK27" s="1"/>
  <c r="BL26" s="1"/>
  <c r="BG27"/>
  <c r="BH27" s="1"/>
  <c r="BI26" s="1"/>
  <c r="BC28"/>
  <c r="BD27"/>
  <c r="T27"/>
  <c r="U27" s="1"/>
  <c r="V26" s="1"/>
  <c r="W27"/>
  <c r="X27" s="1"/>
  <c r="Y26" s="1"/>
  <c r="Q27"/>
  <c r="P28"/>
  <c r="AW27"/>
  <c r="AX27" s="1"/>
  <c r="AY26" s="1"/>
  <c r="AT27"/>
  <c r="AU27" s="1"/>
  <c r="AV26" s="1"/>
  <c r="AQ27"/>
  <c r="AP28"/>
  <c r="U54" i="18"/>
  <c r="T54"/>
  <c r="P89"/>
  <c r="O88"/>
  <c r="I89"/>
  <c r="P88"/>
  <c r="H88"/>
  <c r="I88"/>
  <c r="S89"/>
  <c r="J88"/>
  <c r="Q89"/>
  <c r="N88"/>
  <c r="L89"/>
  <c r="L88"/>
  <c r="N89"/>
  <c r="H89"/>
  <c r="J89"/>
  <c r="R89"/>
  <c r="O89"/>
  <c r="K88"/>
  <c r="R88"/>
  <c r="M89"/>
  <c r="Q88"/>
  <c r="S88"/>
  <c r="K89"/>
  <c r="M88"/>
  <c r="U55"/>
  <c r="T55"/>
  <c r="C58"/>
  <c r="C92" s="1"/>
  <c r="C56"/>
  <c r="C90" s="1"/>
  <c r="L58"/>
  <c r="F58"/>
  <c r="G57"/>
  <c r="G91" s="1"/>
  <c r="L57"/>
  <c r="D92"/>
  <c r="Q58"/>
  <c r="J58"/>
  <c r="R57"/>
  <c r="N57"/>
  <c r="I58"/>
  <c r="S58"/>
  <c r="O58"/>
  <c r="O57"/>
  <c r="P57"/>
  <c r="R58"/>
  <c r="K58"/>
  <c r="G58"/>
  <c r="G92" s="1"/>
  <c r="H57"/>
  <c r="J57"/>
  <c r="K57"/>
  <c r="S57"/>
  <c r="N58"/>
  <c r="H58"/>
  <c r="E58"/>
  <c r="Q57"/>
  <c r="M57"/>
  <c r="P58"/>
  <c r="C91"/>
  <c r="D58"/>
  <c r="E92"/>
  <c r="I57"/>
  <c r="F92"/>
  <c r="M58"/>
  <c r="BF73" i="20"/>
  <c r="AE35" s="1"/>
  <c r="L73"/>
  <c r="H35" s="1"/>
  <c r="AE73"/>
  <c r="AM73"/>
  <c r="BH73"/>
  <c r="AF35" s="1"/>
  <c r="BA73"/>
  <c r="AP73"/>
  <c r="W35" s="1"/>
  <c r="N73"/>
  <c r="I35" s="1"/>
  <c r="BB73"/>
  <c r="AC35" s="1"/>
  <c r="AT73"/>
  <c r="Y35" s="1"/>
  <c r="AI73"/>
  <c r="BD73"/>
  <c r="AD35" s="1"/>
  <c r="BG73"/>
  <c r="AU73"/>
  <c r="BK73"/>
  <c r="E73"/>
  <c r="R73"/>
  <c r="K35" s="1"/>
  <c r="W73"/>
  <c r="AA73"/>
  <c r="T73"/>
  <c r="L35" s="1"/>
  <c r="AC73"/>
  <c r="AF73"/>
  <c r="R35" s="1"/>
  <c r="F73"/>
  <c r="E35" s="1"/>
  <c r="B35"/>
  <c r="B59" i="18" s="1"/>
  <c r="B93" s="1"/>
  <c r="AK73" i="20"/>
  <c r="AL73"/>
  <c r="U35" s="1"/>
  <c r="AZ73"/>
  <c r="AB35" s="1"/>
  <c r="AO73"/>
  <c r="AN73"/>
  <c r="V35" s="1"/>
  <c r="Z73"/>
  <c r="O35" s="1"/>
  <c r="AQ73"/>
  <c r="AW73"/>
  <c r="M73"/>
  <c r="AX73"/>
  <c r="AA35" s="1"/>
  <c r="AB73"/>
  <c r="P35" s="1"/>
  <c r="AR73"/>
  <c r="X35" s="1"/>
  <c r="P73"/>
  <c r="J35" s="1"/>
  <c r="V73"/>
  <c r="M35" s="1"/>
  <c r="O73"/>
  <c r="BE73"/>
  <c r="BJ73"/>
  <c r="S73"/>
  <c r="C35"/>
  <c r="BC73"/>
  <c r="G73"/>
  <c r="H73"/>
  <c r="F35" s="1"/>
  <c r="Y73"/>
  <c r="X73"/>
  <c r="N35" s="1"/>
  <c r="AS73"/>
  <c r="U73"/>
  <c r="D73"/>
  <c r="D35" s="1"/>
  <c r="AV73"/>
  <c r="Z35" s="1"/>
  <c r="K73"/>
  <c r="AJ73"/>
  <c r="T35" s="1"/>
  <c r="Q73"/>
  <c r="AH73"/>
  <c r="S35" s="1"/>
  <c r="BI73"/>
  <c r="I73"/>
  <c r="AY73"/>
  <c r="AD73"/>
  <c r="Q35" s="1"/>
  <c r="AG73"/>
  <c r="J73"/>
  <c r="G35" s="1"/>
  <c r="V52" i="18"/>
  <c r="V51"/>
  <c r="Q23" i="19"/>
  <c r="T22"/>
  <c r="R22"/>
  <c r="S22"/>
  <c r="H126" i="18" l="1"/>
  <c r="L126"/>
  <c r="N126"/>
  <c r="I126"/>
  <c r="M126"/>
  <c r="K126"/>
  <c r="J126"/>
  <c r="V86"/>
  <c r="U88"/>
  <c r="T88"/>
  <c r="T89"/>
  <c r="U89"/>
  <c r="V85"/>
  <c r="J28" i="23"/>
  <c r="K28" s="1"/>
  <c r="L27" s="1"/>
  <c r="G28"/>
  <c r="H28" s="1"/>
  <c r="I27" s="1"/>
  <c r="D28"/>
  <c r="AT28"/>
  <c r="AU28" s="1"/>
  <c r="AV27" s="1"/>
  <c r="AW28"/>
  <c r="AX28" s="1"/>
  <c r="AY27" s="1"/>
  <c r="AQ28"/>
  <c r="T28"/>
  <c r="U28" s="1"/>
  <c r="V27" s="1"/>
  <c r="W28"/>
  <c r="X28" s="1"/>
  <c r="Y27" s="1"/>
  <c r="Q28"/>
  <c r="BG28"/>
  <c r="BH28" s="1"/>
  <c r="BI27" s="1"/>
  <c r="BJ28"/>
  <c r="BK28" s="1"/>
  <c r="BL27" s="1"/>
  <c r="BD28"/>
  <c r="AJ28"/>
  <c r="AK28" s="1"/>
  <c r="AL27" s="1"/>
  <c r="AG28"/>
  <c r="AH28" s="1"/>
  <c r="AI27" s="1"/>
  <c r="AD28"/>
  <c r="BW28"/>
  <c r="BX28" s="1"/>
  <c r="BY27" s="1"/>
  <c r="BT28"/>
  <c r="BU28" s="1"/>
  <c r="BV27" s="1"/>
  <c r="BQ28"/>
  <c r="V55" i="18"/>
  <c r="T58"/>
  <c r="U58"/>
  <c r="U57"/>
  <c r="T57"/>
  <c r="C59"/>
  <c r="C93" s="1"/>
  <c r="Q91"/>
  <c r="I92"/>
  <c r="K91"/>
  <c r="P91"/>
  <c r="H91"/>
  <c r="J91"/>
  <c r="S91"/>
  <c r="M92"/>
  <c r="H92"/>
  <c r="P92"/>
  <c r="K92"/>
  <c r="O92"/>
  <c r="R91"/>
  <c r="N91"/>
  <c r="J92"/>
  <c r="N92"/>
  <c r="R92"/>
  <c r="S92"/>
  <c r="Q92"/>
  <c r="L92"/>
  <c r="I91"/>
  <c r="O91"/>
  <c r="L91"/>
  <c r="M91"/>
  <c r="V54"/>
  <c r="S23" i="19"/>
  <c r="T23"/>
  <c r="Q24"/>
  <c r="R23"/>
  <c r="V89" i="18" l="1"/>
  <c r="U92"/>
  <c r="T92"/>
  <c r="V88"/>
  <c r="U91"/>
  <c r="T91"/>
  <c r="V57"/>
  <c r="V26" s="1"/>
  <c r="D24" s="1"/>
  <c r="V58"/>
  <c r="V27" s="1"/>
  <c r="D25" s="1"/>
  <c r="Q25" i="19"/>
  <c r="R24"/>
  <c r="T24"/>
  <c r="S24"/>
  <c r="V92" i="18" l="1"/>
  <c r="V91"/>
  <c r="E25"/>
  <c r="Q26" i="19"/>
  <c r="B9" s="1"/>
  <c r="T25"/>
  <c r="S25"/>
  <c r="R25"/>
  <c r="B6"/>
  <c r="F62" i="18" l="1"/>
  <c r="F74" s="1"/>
  <c r="R26" i="19"/>
  <c r="S26"/>
  <c r="T26"/>
  <c r="B8"/>
  <c r="A20" i="30"/>
  <c r="A21" s="1"/>
  <c r="A22" s="1"/>
  <c r="A23" s="1"/>
  <c r="A24" s="1"/>
  <c r="A25" s="1"/>
  <c r="A26" s="1"/>
  <c r="A27" s="1"/>
  <c r="A28" s="1"/>
  <c r="A29" s="1"/>
  <c r="A30" s="1"/>
  <c r="G19"/>
  <c r="AC35" i="23"/>
  <c r="BC35"/>
  <c r="BP35"/>
  <c r="AP35"/>
  <c r="AR60"/>
  <c r="AE33"/>
  <c r="AR33"/>
  <c r="BR33"/>
  <c r="BE33"/>
  <c r="AE60"/>
  <c r="BE60"/>
  <c r="BR60"/>
  <c r="E33"/>
  <c r="C35"/>
  <c r="D35" s="1"/>
  <c r="E60"/>
  <c r="F60" s="1"/>
  <c r="R60"/>
  <c r="R33"/>
  <c r="I1"/>
  <c r="E20" i="30" s="1"/>
  <c r="P35" i="23"/>
  <c r="D74" i="18" l="1"/>
  <c r="F68"/>
  <c r="J67" s="1"/>
  <c r="D101" s="1"/>
  <c r="E65"/>
  <c r="D65"/>
  <c r="D68"/>
  <c r="D71"/>
  <c r="D77"/>
  <c r="E77"/>
  <c r="F71"/>
  <c r="F65"/>
  <c r="E71"/>
  <c r="E74"/>
  <c r="E68"/>
  <c r="F77"/>
  <c r="H76" s="1"/>
  <c r="BD35" i="23"/>
  <c r="BD34"/>
  <c r="AD35"/>
  <c r="AD34"/>
  <c r="L77" i="18"/>
  <c r="F111" s="1"/>
  <c r="M76"/>
  <c r="G110" s="1"/>
  <c r="H77"/>
  <c r="Q34" i="23"/>
  <c r="Q35"/>
  <c r="AQ35"/>
  <c r="AQ34"/>
  <c r="BQ34"/>
  <c r="BQ35"/>
  <c r="E21" i="30"/>
  <c r="G20"/>
  <c r="D64" i="26"/>
  <c r="D64" i="24"/>
  <c r="BT60" i="23"/>
  <c r="X64" i="25" s="1"/>
  <c r="BV60" i="23"/>
  <c r="BS60"/>
  <c r="X64" i="24" s="1"/>
  <c r="BU60" i="23"/>
  <c r="BU33"/>
  <c r="BS33"/>
  <c r="X42" i="24" s="1"/>
  <c r="BV33" i="23"/>
  <c r="BT33"/>
  <c r="X42" i="25" s="1"/>
  <c r="AP37" i="23"/>
  <c r="AO35"/>
  <c r="AR35" s="1"/>
  <c r="AS35" s="1"/>
  <c r="P44" i="24" s="1"/>
  <c r="C62" i="23"/>
  <c r="BC62"/>
  <c r="AP62"/>
  <c r="BP62"/>
  <c r="BQ61" s="1"/>
  <c r="AC62"/>
  <c r="BH60"/>
  <c r="BG60"/>
  <c r="T64" i="25" s="1"/>
  <c r="BF60" i="23"/>
  <c r="T64" i="24" s="1"/>
  <c r="BI60" i="23"/>
  <c r="AV33"/>
  <c r="AU33"/>
  <c r="AT33"/>
  <c r="P42" i="25" s="1"/>
  <c r="AS33" i="23"/>
  <c r="BP37"/>
  <c r="BO35"/>
  <c r="BR35" s="1"/>
  <c r="BS35" s="1"/>
  <c r="X44" i="24" s="1"/>
  <c r="AH60" i="23"/>
  <c r="AG60"/>
  <c r="L64" i="25" s="1"/>
  <c r="AF60" i="23"/>
  <c r="L64" i="24" s="1"/>
  <c r="AI60" i="23"/>
  <c r="AG33"/>
  <c r="L42" i="25" s="1"/>
  <c r="AF33" i="23"/>
  <c r="L42" i="24" s="1"/>
  <c r="AI33" i="23"/>
  <c r="AH33"/>
  <c r="BC37"/>
  <c r="BB35"/>
  <c r="BE35" s="1"/>
  <c r="BG35" s="1"/>
  <c r="T44" i="25" s="1"/>
  <c r="BG33" i="23"/>
  <c r="T42" i="25" s="1"/>
  <c r="BF33" i="23"/>
  <c r="T42" i="24" s="1"/>
  <c r="BI33" i="23"/>
  <c r="BH33"/>
  <c r="AS60"/>
  <c r="P64" i="24" s="1"/>
  <c r="AT60" i="23"/>
  <c r="P64" i="25" s="1"/>
  <c r="AV60" i="23"/>
  <c r="AU60"/>
  <c r="AC37"/>
  <c r="AB35"/>
  <c r="AE35" s="1"/>
  <c r="AI35" s="1"/>
  <c r="S33"/>
  <c r="H42" i="24" s="1"/>
  <c r="V33" i="23"/>
  <c r="U33"/>
  <c r="T33"/>
  <c r="H42" i="25" s="1"/>
  <c r="U60" i="23"/>
  <c r="H64" i="26" s="1"/>
  <c r="T60" i="23"/>
  <c r="H64" i="25" s="1"/>
  <c r="S60" i="23"/>
  <c r="H64" i="24" s="1"/>
  <c r="V60" i="23"/>
  <c r="D34"/>
  <c r="C37"/>
  <c r="D37" s="1"/>
  <c r="B35"/>
  <c r="E35" s="1"/>
  <c r="I33"/>
  <c r="H42" i="27" s="1"/>
  <c r="F33" i="23"/>
  <c r="G33"/>
  <c r="H33"/>
  <c r="H60"/>
  <c r="I60"/>
  <c r="H64" i="27" s="1"/>
  <c r="G60" i="23"/>
  <c r="K1"/>
  <c r="O35"/>
  <c r="R35" s="1"/>
  <c r="P37"/>
  <c r="P62"/>
  <c r="H42" i="26" l="1"/>
  <c r="I42" s="1"/>
  <c r="I77" i="18"/>
  <c r="C111" s="1"/>
  <c r="P107"/>
  <c r="Q107"/>
  <c r="P105"/>
  <c r="Q105"/>
  <c r="I76"/>
  <c r="C110" s="1"/>
  <c r="P108"/>
  <c r="Q108"/>
  <c r="Q102"/>
  <c r="P102"/>
  <c r="Q101"/>
  <c r="P101"/>
  <c r="J77"/>
  <c r="D111" s="1"/>
  <c r="P104"/>
  <c r="Q104"/>
  <c r="P110"/>
  <c r="Q110"/>
  <c r="J76"/>
  <c r="D110" s="1"/>
  <c r="P111"/>
  <c r="Q111"/>
  <c r="S102"/>
  <c r="T102"/>
  <c r="T101"/>
  <c r="S101"/>
  <c r="S104"/>
  <c r="T104"/>
  <c r="P99"/>
  <c r="S99"/>
  <c r="Q99"/>
  <c r="T99"/>
  <c r="S98"/>
  <c r="P98"/>
  <c r="Q98"/>
  <c r="T98"/>
  <c r="S110"/>
  <c r="T110"/>
  <c r="K73"/>
  <c r="E107" s="1"/>
  <c r="S107"/>
  <c r="T107"/>
  <c r="S105"/>
  <c r="T105"/>
  <c r="T108"/>
  <c r="S108"/>
  <c r="S111"/>
  <c r="T111"/>
  <c r="L71"/>
  <c r="F105" s="1"/>
  <c r="J64"/>
  <c r="D98" s="1"/>
  <c r="M65"/>
  <c r="G99" s="1"/>
  <c r="L64"/>
  <c r="F98" s="1"/>
  <c r="K64"/>
  <c r="E98" s="1"/>
  <c r="I64"/>
  <c r="L65"/>
  <c r="F99" s="1"/>
  <c r="K65"/>
  <c r="E99" s="1"/>
  <c r="I65"/>
  <c r="C99" s="1"/>
  <c r="H64"/>
  <c r="H65"/>
  <c r="J65"/>
  <c r="D99" s="1"/>
  <c r="M64"/>
  <c r="G98" s="1"/>
  <c r="B111"/>
  <c r="B110"/>
  <c r="M74"/>
  <c r="G108" s="1"/>
  <c r="J74"/>
  <c r="D108" s="1"/>
  <c r="K70"/>
  <c r="E104" s="1"/>
  <c r="J73"/>
  <c r="D107" s="1"/>
  <c r="L74"/>
  <c r="F108" s="1"/>
  <c r="I74"/>
  <c r="C108" s="1"/>
  <c r="L73"/>
  <c r="F107" s="1"/>
  <c r="L68"/>
  <c r="F102" s="1"/>
  <c r="M73"/>
  <c r="G107" s="1"/>
  <c r="H74"/>
  <c r="J70"/>
  <c r="D104" s="1"/>
  <c r="M70"/>
  <c r="G104" s="1"/>
  <c r="H73"/>
  <c r="I73"/>
  <c r="C107" s="1"/>
  <c r="K71"/>
  <c r="E105" s="1"/>
  <c r="I70"/>
  <c r="C104" s="1"/>
  <c r="K74"/>
  <c r="E108" s="1"/>
  <c r="H67"/>
  <c r="J71"/>
  <c r="D105" s="1"/>
  <c r="K76"/>
  <c r="E110" s="1"/>
  <c r="K77"/>
  <c r="E111" s="1"/>
  <c r="I67"/>
  <c r="C101" s="1"/>
  <c r="J68"/>
  <c r="D102" s="1"/>
  <c r="H70"/>
  <c r="L70"/>
  <c r="F104" s="1"/>
  <c r="L76"/>
  <c r="F110" s="1"/>
  <c r="M67"/>
  <c r="G101" s="1"/>
  <c r="L67"/>
  <c r="F101" s="1"/>
  <c r="K67"/>
  <c r="E101" s="1"/>
  <c r="I68"/>
  <c r="C102" s="1"/>
  <c r="I71"/>
  <c r="C105" s="1"/>
  <c r="M77"/>
  <c r="G111" s="1"/>
  <c r="M68"/>
  <c r="G102" s="1"/>
  <c r="K68"/>
  <c r="E102" s="1"/>
  <c r="H68"/>
  <c r="H71"/>
  <c r="M71"/>
  <c r="G105" s="1"/>
  <c r="Q62" i="23"/>
  <c r="Q61"/>
  <c r="BD37"/>
  <c r="BD36"/>
  <c r="BQ62"/>
  <c r="Q36"/>
  <c r="Q37"/>
  <c r="AQ62"/>
  <c r="AQ61"/>
  <c r="AQ36"/>
  <c r="AQ37"/>
  <c r="AD37"/>
  <c r="AD36"/>
  <c r="BQ37"/>
  <c r="BQ36"/>
  <c r="BD61"/>
  <c r="BD62"/>
  <c r="AD61"/>
  <c r="AD62"/>
  <c r="D61"/>
  <c r="D62"/>
  <c r="AH35"/>
  <c r="AH34" s="1"/>
  <c r="BI35"/>
  <c r="J64" i="25"/>
  <c r="I64"/>
  <c r="Y64"/>
  <c r="Z64"/>
  <c r="J42" i="27"/>
  <c r="I42"/>
  <c r="I64"/>
  <c r="J64"/>
  <c r="D42" i="26"/>
  <c r="D42" i="24"/>
  <c r="U64" i="25"/>
  <c r="V64"/>
  <c r="I64" i="26"/>
  <c r="J64"/>
  <c r="J42" i="24"/>
  <c r="I42"/>
  <c r="R64" i="25"/>
  <c r="Q64"/>
  <c r="V42" i="24"/>
  <c r="U42"/>
  <c r="M64"/>
  <c r="N64"/>
  <c r="Z42" i="25"/>
  <c r="Y42"/>
  <c r="J42"/>
  <c r="I42"/>
  <c r="Q64" i="24"/>
  <c r="R64"/>
  <c r="V42" i="25"/>
  <c r="U42"/>
  <c r="N42" i="24"/>
  <c r="M42"/>
  <c r="M64" i="25"/>
  <c r="N64"/>
  <c r="BT35" i="23"/>
  <c r="X44" i="25" s="1"/>
  <c r="AS34" i="23"/>
  <c r="P43" i="24" s="1"/>
  <c r="P42"/>
  <c r="Z64"/>
  <c r="Y64"/>
  <c r="F64"/>
  <c r="B63" s="1"/>
  <c r="E64"/>
  <c r="E22" i="30"/>
  <c r="G21"/>
  <c r="D64" i="27"/>
  <c r="D64" i="25"/>
  <c r="D42" i="27"/>
  <c r="D42" i="25"/>
  <c r="I64" i="24"/>
  <c r="J64"/>
  <c r="N42" i="25"/>
  <c r="M42"/>
  <c r="BU35" i="23"/>
  <c r="BU34" s="1"/>
  <c r="R42" i="25"/>
  <c r="Q42"/>
  <c r="U64" i="24"/>
  <c r="V64"/>
  <c r="Z42"/>
  <c r="Y42"/>
  <c r="F64" i="26"/>
  <c r="E64"/>
  <c r="L64"/>
  <c r="BS34" i="23"/>
  <c r="X43" i="24" s="1"/>
  <c r="B62" i="23"/>
  <c r="E62" s="1"/>
  <c r="G62" s="1"/>
  <c r="BV35"/>
  <c r="BV34" s="1"/>
  <c r="AT35"/>
  <c r="C64"/>
  <c r="D64" s="1"/>
  <c r="AG35"/>
  <c r="L44" i="25" s="1"/>
  <c r="BH35" i="23"/>
  <c r="BH34" s="1"/>
  <c r="AV35"/>
  <c r="AV34" s="1"/>
  <c r="AU35"/>
  <c r="AU34" s="1"/>
  <c r="BO37"/>
  <c r="BR37" s="1"/>
  <c r="BU37" s="1"/>
  <c r="BP39"/>
  <c r="BC64"/>
  <c r="BB62"/>
  <c r="BE62" s="1"/>
  <c r="BI62" s="1"/>
  <c r="AC64"/>
  <c r="AB62"/>
  <c r="AE62" s="1"/>
  <c r="AH62" s="1"/>
  <c r="AF35"/>
  <c r="BG34"/>
  <c r="T43" i="25" s="1"/>
  <c r="BF35" i="23"/>
  <c r="T44" i="24" s="1"/>
  <c r="BP64" i="23"/>
  <c r="BO62"/>
  <c r="BR62" s="1"/>
  <c r="BS62" s="1"/>
  <c r="X66" i="24" s="1"/>
  <c r="AC39" i="23"/>
  <c r="AB37"/>
  <c r="AE37" s="1"/>
  <c r="AG37" s="1"/>
  <c r="L46" i="25" s="1"/>
  <c r="BC39" i="23"/>
  <c r="BB37"/>
  <c r="BE37" s="1"/>
  <c r="BG37" s="1"/>
  <c r="T46" i="25" s="1"/>
  <c r="AO62" i="23"/>
  <c r="AR62" s="1"/>
  <c r="AT62" s="1"/>
  <c r="P66" i="25" s="1"/>
  <c r="AP64" i="23"/>
  <c r="AP39"/>
  <c r="AO37"/>
  <c r="AR37" s="1"/>
  <c r="AS37" s="1"/>
  <c r="S35"/>
  <c r="V35"/>
  <c r="U35"/>
  <c r="T35"/>
  <c r="H44" i="25" s="1"/>
  <c r="D36" i="23"/>
  <c r="F35"/>
  <c r="H35"/>
  <c r="H34" s="1"/>
  <c r="I35"/>
  <c r="H44" i="27" s="1"/>
  <c r="G35" i="23"/>
  <c r="G34" s="1"/>
  <c r="C39"/>
  <c r="D39" s="1"/>
  <c r="B37"/>
  <c r="E37" s="1"/>
  <c r="O62"/>
  <c r="R62" s="1"/>
  <c r="P64"/>
  <c r="O37"/>
  <c r="R37" s="1"/>
  <c r="P39"/>
  <c r="J42" i="26" l="1"/>
  <c r="H44"/>
  <c r="U76" i="18"/>
  <c r="B99"/>
  <c r="U65"/>
  <c r="T65"/>
  <c r="L110"/>
  <c r="K110"/>
  <c r="H110"/>
  <c r="J110"/>
  <c r="N110"/>
  <c r="I110"/>
  <c r="M110"/>
  <c r="B105"/>
  <c r="U71"/>
  <c r="T71"/>
  <c r="T64"/>
  <c r="C98"/>
  <c r="U68"/>
  <c r="T68"/>
  <c r="B102"/>
  <c r="U73"/>
  <c r="B107"/>
  <c r="T73"/>
  <c r="T74"/>
  <c r="B108"/>
  <c r="U74"/>
  <c r="H111"/>
  <c r="N111"/>
  <c r="M111"/>
  <c r="K111"/>
  <c r="L111"/>
  <c r="I111"/>
  <c r="J111"/>
  <c r="T76"/>
  <c r="V76" s="1"/>
  <c r="U77"/>
  <c r="B98"/>
  <c r="U64"/>
  <c r="B104"/>
  <c r="T70"/>
  <c r="U70"/>
  <c r="T67"/>
  <c r="B101"/>
  <c r="U67"/>
  <c r="T77"/>
  <c r="I62" i="23"/>
  <c r="H66" i="27" s="1"/>
  <c r="AG34" i="23"/>
  <c r="L43" i="25" s="1"/>
  <c r="M43" s="1"/>
  <c r="M44" s="1"/>
  <c r="F62" i="23"/>
  <c r="D66" i="24" s="1"/>
  <c r="Q38" i="23"/>
  <c r="Q39"/>
  <c r="BD39"/>
  <c r="BD38"/>
  <c r="AQ64"/>
  <c r="AQ63"/>
  <c r="AQ39"/>
  <c r="AQ38"/>
  <c r="BQ64"/>
  <c r="BQ63"/>
  <c r="D63"/>
  <c r="BD63"/>
  <c r="BD64"/>
  <c r="Q64"/>
  <c r="Q63"/>
  <c r="AD39"/>
  <c r="AD38"/>
  <c r="BQ38"/>
  <c r="BQ39"/>
  <c r="B64"/>
  <c r="E64" s="1"/>
  <c r="I64" s="1"/>
  <c r="H68" i="27" s="1"/>
  <c r="AD63" i="23"/>
  <c r="AD64"/>
  <c r="H62"/>
  <c r="H61" s="1"/>
  <c r="C66"/>
  <c r="D66" s="1"/>
  <c r="AU37"/>
  <c r="AU36" s="1"/>
  <c r="AV37"/>
  <c r="AV36" s="1"/>
  <c r="BG36"/>
  <c r="T45" i="25" s="1"/>
  <c r="D43" i="27"/>
  <c r="D43" i="25"/>
  <c r="P46" i="24"/>
  <c r="AS36" i="23"/>
  <c r="P45" i="24" s="1"/>
  <c r="F42"/>
  <c r="E42"/>
  <c r="A42" s="1"/>
  <c r="S34" i="23"/>
  <c r="H43" i="24" s="1"/>
  <c r="H44"/>
  <c r="AH37" i="23"/>
  <c r="AH36" s="1"/>
  <c r="Y43" i="24"/>
  <c r="Y44" s="1"/>
  <c r="Z43"/>
  <c r="Z44" s="1"/>
  <c r="L64" i="27"/>
  <c r="E64"/>
  <c r="F64"/>
  <c r="F42" i="26"/>
  <c r="E42"/>
  <c r="L42"/>
  <c r="D44"/>
  <c r="D44" i="24"/>
  <c r="AT34" i="23"/>
  <c r="P43" i="25" s="1"/>
  <c r="P44"/>
  <c r="R42" i="24"/>
  <c r="R43" s="1"/>
  <c r="R44" s="1"/>
  <c r="Q42"/>
  <c r="Q43" s="1"/>
  <c r="Q44" s="1"/>
  <c r="AT37" i="23"/>
  <c r="P46" i="25" s="1"/>
  <c r="AF37" i="23"/>
  <c r="L46" i="24" s="1"/>
  <c r="L44"/>
  <c r="BS37" i="23"/>
  <c r="X46" i="24" s="1"/>
  <c r="N64" i="26"/>
  <c r="B63" s="1"/>
  <c r="H64" i="29"/>
  <c r="D64" i="28"/>
  <c r="M64" i="26"/>
  <c r="F42" i="25"/>
  <c r="E42"/>
  <c r="A42" s="1"/>
  <c r="AG36" i="23"/>
  <c r="L45" i="25" s="1"/>
  <c r="U43"/>
  <c r="U44" s="1"/>
  <c r="V43"/>
  <c r="V44" s="1"/>
  <c r="F64"/>
  <c r="B63" s="1"/>
  <c r="E64"/>
  <c r="D44" i="27"/>
  <c r="D44" i="25"/>
  <c r="D66" i="26"/>
  <c r="D66" i="27"/>
  <c r="D66" i="25"/>
  <c r="BV37" i="23"/>
  <c r="L42" i="27"/>
  <c r="E42"/>
  <c r="F42"/>
  <c r="E23" i="30"/>
  <c r="G22"/>
  <c r="BT34" i="23"/>
  <c r="X43" i="25" s="1"/>
  <c r="BH37" i="23"/>
  <c r="BH36" s="1"/>
  <c r="BU62"/>
  <c r="BU61" s="1"/>
  <c r="BI34"/>
  <c r="BF34"/>
  <c r="T43" i="24" s="1"/>
  <c r="BT37" i="23"/>
  <c r="I34"/>
  <c r="H43" i="27" s="1"/>
  <c r="AT61" i="23"/>
  <c r="P65" i="25" s="1"/>
  <c r="BI37" i="23"/>
  <c r="BG62"/>
  <c r="BU36"/>
  <c r="G61"/>
  <c r="AI34"/>
  <c r="AF34"/>
  <c r="L43" i="24" s="1"/>
  <c r="BF37" i="23"/>
  <c r="T46" i="24" s="1"/>
  <c r="AI37" i="23"/>
  <c r="BF62"/>
  <c r="BF61" s="1"/>
  <c r="T65" i="24" s="1"/>
  <c r="F34" i="23"/>
  <c r="BS61"/>
  <c r="X65" i="24" s="1"/>
  <c r="AO39" i="23"/>
  <c r="AR39" s="1"/>
  <c r="AT39" s="1"/>
  <c r="P48" i="25" s="1"/>
  <c r="AP41" i="23"/>
  <c r="AV62"/>
  <c r="BB39"/>
  <c r="BE39" s="1"/>
  <c r="BH39" s="1"/>
  <c r="BC41"/>
  <c r="BV62"/>
  <c r="BV61" s="1"/>
  <c r="AH61"/>
  <c r="AU62"/>
  <c r="AU61" s="1"/>
  <c r="AC41"/>
  <c r="AB39"/>
  <c r="AE39" s="1"/>
  <c r="AG62"/>
  <c r="AS62"/>
  <c r="P66" i="24" s="1"/>
  <c r="AF62" i="23"/>
  <c r="L66" i="24" s="1"/>
  <c r="AC66" i="23"/>
  <c r="AB64"/>
  <c r="AE64" s="1"/>
  <c r="AF64" s="1"/>
  <c r="L68" i="24" s="1"/>
  <c r="AO64" i="23"/>
  <c r="AR64" s="1"/>
  <c r="AV64" s="1"/>
  <c r="AP66"/>
  <c r="BT62"/>
  <c r="X66" i="25" s="1"/>
  <c r="BP66" i="23"/>
  <c r="BO64"/>
  <c r="BR64" s="1"/>
  <c r="AI62"/>
  <c r="BH62"/>
  <c r="BH61" s="1"/>
  <c r="BC66"/>
  <c r="BB64"/>
  <c r="BE64" s="1"/>
  <c r="BF64" s="1"/>
  <c r="T68" i="24" s="1"/>
  <c r="BO39" i="23"/>
  <c r="BR39" s="1"/>
  <c r="BP41"/>
  <c r="S37"/>
  <c r="H46" i="24" s="1"/>
  <c r="V37" i="23"/>
  <c r="U37"/>
  <c r="H46" i="26" s="1"/>
  <c r="T37" i="23"/>
  <c r="H46" i="25" s="1"/>
  <c r="T34" i="23"/>
  <c r="H43" i="25" s="1"/>
  <c r="U62" i="23"/>
  <c r="H66" i="26" s="1"/>
  <c r="T62" i="23"/>
  <c r="H66" i="25" s="1"/>
  <c r="S62" i="23"/>
  <c r="H66" i="24" s="1"/>
  <c r="V62" i="23"/>
  <c r="U34"/>
  <c r="V34"/>
  <c r="D38"/>
  <c r="H37"/>
  <c r="H36" s="1"/>
  <c r="F37"/>
  <c r="I37"/>
  <c r="H46" i="27" s="1"/>
  <c r="G37" i="23"/>
  <c r="B39"/>
  <c r="E39" s="1"/>
  <c r="C41"/>
  <c r="D41" s="1"/>
  <c r="P41"/>
  <c r="O39"/>
  <c r="R39" s="1"/>
  <c r="O64"/>
  <c r="R64" s="1"/>
  <c r="P66"/>
  <c r="V64" i="18" l="1"/>
  <c r="J43" i="26"/>
  <c r="J44" s="1"/>
  <c r="H43"/>
  <c r="N43" i="25"/>
  <c r="N44" s="1"/>
  <c r="I66" i="27"/>
  <c r="V71" i="18"/>
  <c r="V68"/>
  <c r="V74"/>
  <c r="H99"/>
  <c r="K99"/>
  <c r="I99"/>
  <c r="N99"/>
  <c r="M99"/>
  <c r="L99"/>
  <c r="J99"/>
  <c r="H102"/>
  <c r="K102"/>
  <c r="L102"/>
  <c r="M102"/>
  <c r="N102"/>
  <c r="I102"/>
  <c r="J102"/>
  <c r="L104"/>
  <c r="K104"/>
  <c r="I104"/>
  <c r="M104"/>
  <c r="H104"/>
  <c r="J104"/>
  <c r="N104"/>
  <c r="V65"/>
  <c r="V70"/>
  <c r="V73"/>
  <c r="I98"/>
  <c r="K98"/>
  <c r="H98"/>
  <c r="M98"/>
  <c r="L98"/>
  <c r="N98"/>
  <c r="J98"/>
  <c r="C96"/>
  <c r="H105"/>
  <c r="K105"/>
  <c r="M105"/>
  <c r="L105"/>
  <c r="N105"/>
  <c r="I105"/>
  <c r="J105"/>
  <c r="L107"/>
  <c r="K107"/>
  <c r="M107"/>
  <c r="N107"/>
  <c r="H107"/>
  <c r="J107"/>
  <c r="I107"/>
  <c r="H108"/>
  <c r="M108"/>
  <c r="L108"/>
  <c r="K108"/>
  <c r="N108"/>
  <c r="J108"/>
  <c r="I108"/>
  <c r="V67"/>
  <c r="L101"/>
  <c r="K101"/>
  <c r="I101"/>
  <c r="H101"/>
  <c r="N101"/>
  <c r="M101"/>
  <c r="J101"/>
  <c r="V77"/>
  <c r="F61" i="23"/>
  <c r="D65" i="26" s="1"/>
  <c r="U45" i="25"/>
  <c r="U46" s="1"/>
  <c r="I61" i="23"/>
  <c r="H65" i="27" s="1"/>
  <c r="I65" s="1"/>
  <c r="F64" i="23"/>
  <c r="D68" i="24" s="1"/>
  <c r="D65" i="23"/>
  <c r="Q66"/>
  <c r="Q65"/>
  <c r="BQ66"/>
  <c r="BQ65"/>
  <c r="G64"/>
  <c r="D68" i="27" s="1"/>
  <c r="AD41" i="23"/>
  <c r="AD40"/>
  <c r="AQ40"/>
  <c r="AQ41"/>
  <c r="B66"/>
  <c r="E66" s="1"/>
  <c r="I66" s="1"/>
  <c r="H70" i="27" s="1"/>
  <c r="AQ66" i="23"/>
  <c r="AQ65"/>
  <c r="AD65"/>
  <c r="AD66"/>
  <c r="H64"/>
  <c r="H63" s="1"/>
  <c r="BD41"/>
  <c r="BD40"/>
  <c r="BQ41"/>
  <c r="BQ40"/>
  <c r="C68"/>
  <c r="D68" s="1"/>
  <c r="Q41"/>
  <c r="Q40"/>
  <c r="BD65"/>
  <c r="BD66"/>
  <c r="AI36"/>
  <c r="BV36"/>
  <c r="AV39"/>
  <c r="AF36"/>
  <c r="L45" i="24" s="1"/>
  <c r="V45" i="25"/>
  <c r="V46" s="1"/>
  <c r="AS39" i="23"/>
  <c r="P48" i="24" s="1"/>
  <c r="S36" i="23"/>
  <c r="H45" i="24" s="1"/>
  <c r="AU39" i="23"/>
  <c r="AU38" s="1"/>
  <c r="BS36"/>
  <c r="X45" i="24" s="1"/>
  <c r="Y45" s="1"/>
  <c r="AT36" i="23"/>
  <c r="P45" i="25" s="1"/>
  <c r="BV39" i="23"/>
  <c r="BU39"/>
  <c r="BU38" s="1"/>
  <c r="BS39"/>
  <c r="BG61"/>
  <c r="T65" i="25" s="1"/>
  <c r="T66"/>
  <c r="U61" i="23"/>
  <c r="H65" i="26" s="1"/>
  <c r="U36" i="23"/>
  <c r="D65" i="27"/>
  <c r="D65" i="25"/>
  <c r="Z43"/>
  <c r="Z44" s="1"/>
  <c r="Y43"/>
  <c r="Y44" s="1"/>
  <c r="L66" i="26"/>
  <c r="I43"/>
  <c r="I44" s="1"/>
  <c r="I43" i="25"/>
  <c r="I44" s="1"/>
  <c r="J43"/>
  <c r="J44" s="1"/>
  <c r="BG39" i="23"/>
  <c r="T48" i="25" s="1"/>
  <c r="BI61" i="23"/>
  <c r="T66" i="24"/>
  <c r="BT36" i="23"/>
  <c r="X45" i="25" s="1"/>
  <c r="X46"/>
  <c r="H42" i="28"/>
  <c r="D42" i="29"/>
  <c r="M42" i="27"/>
  <c r="A42" s="1"/>
  <c r="N42"/>
  <c r="Y46" i="24"/>
  <c r="R43" i="25"/>
  <c r="R44" s="1"/>
  <c r="Q43"/>
  <c r="Q44" s="1"/>
  <c r="L44" i="26"/>
  <c r="H64" i="28"/>
  <c r="L64" s="1"/>
  <c r="D64" i="29"/>
  <c r="M64" i="27"/>
  <c r="N64"/>
  <c r="B63" s="1"/>
  <c r="E43" i="25"/>
  <c r="E44" s="1"/>
  <c r="F43"/>
  <c r="F44" s="1"/>
  <c r="G36" i="23"/>
  <c r="D46" i="25"/>
  <c r="D46" i="27"/>
  <c r="D43" i="26"/>
  <c r="D43" i="24"/>
  <c r="N45" i="25"/>
  <c r="N46" s="1"/>
  <c r="M45"/>
  <c r="M46" s="1"/>
  <c r="J64" i="29"/>
  <c r="I64"/>
  <c r="R45" i="24"/>
  <c r="R46" s="1"/>
  <c r="Q45"/>
  <c r="Q46" s="1"/>
  <c r="J43" i="27"/>
  <c r="J44" s="1"/>
  <c r="I43"/>
  <c r="I44" s="1"/>
  <c r="D46" i="26"/>
  <c r="D46" i="24"/>
  <c r="U65"/>
  <c r="V65"/>
  <c r="AH64" i="23"/>
  <c r="AH63" s="1"/>
  <c r="AG61"/>
  <c r="L65" i="25" s="1"/>
  <c r="L66"/>
  <c r="Y65" i="24"/>
  <c r="Y66" s="1"/>
  <c r="Z65"/>
  <c r="Z66" s="1"/>
  <c r="BT61" i="23"/>
  <c r="X65" i="25" s="1"/>
  <c r="M43" i="24"/>
  <c r="N43"/>
  <c r="R65" i="25"/>
  <c r="R66" s="1"/>
  <c r="Q65"/>
  <c r="Q66" s="1"/>
  <c r="U43" i="24"/>
  <c r="U44" s="1"/>
  <c r="V43"/>
  <c r="V44" s="1"/>
  <c r="E24" i="30"/>
  <c r="G23"/>
  <c r="L66" i="27"/>
  <c r="L44"/>
  <c r="F44"/>
  <c r="F64" i="28"/>
  <c r="E64"/>
  <c r="N44" i="24"/>
  <c r="M44"/>
  <c r="N42" i="26"/>
  <c r="H42" i="29"/>
  <c r="D42" i="28"/>
  <c r="M42" i="26"/>
  <c r="A42" s="1"/>
  <c r="J43" i="24"/>
  <c r="J44" s="1"/>
  <c r="I43"/>
  <c r="I44" s="1"/>
  <c r="E43" i="27"/>
  <c r="E44" s="1"/>
  <c r="F43"/>
  <c r="L43"/>
  <c r="BI39" i="23"/>
  <c r="AI39"/>
  <c r="AF39"/>
  <c r="L48" i="24" s="1"/>
  <c r="AH39" i="23"/>
  <c r="AH38" s="1"/>
  <c r="I36"/>
  <c r="H45" i="27" s="1"/>
  <c r="BF39" i="23"/>
  <c r="T48" i="24" s="1"/>
  <c r="F36" i="23"/>
  <c r="BI36"/>
  <c r="BF36"/>
  <c r="T45" i="24" s="1"/>
  <c r="BH38" i="23"/>
  <c r="BF63"/>
  <c r="T67" i="24" s="1"/>
  <c r="BS64" i="23"/>
  <c r="X68" i="24" s="1"/>
  <c r="BU64" i="23"/>
  <c r="BU63" s="1"/>
  <c r="BV64"/>
  <c r="BT64"/>
  <c r="AF63"/>
  <c r="L67" i="24" s="1"/>
  <c r="H39" i="23"/>
  <c r="H38" s="1"/>
  <c r="BG64"/>
  <c r="BC68"/>
  <c r="BB66"/>
  <c r="BE66" s="1"/>
  <c r="BG66" s="1"/>
  <c r="T70" i="25" s="1"/>
  <c r="AU64" i="23"/>
  <c r="AU63" s="1"/>
  <c r="AG64"/>
  <c r="AC68"/>
  <c r="AB66"/>
  <c r="AE66" s="1"/>
  <c r="AG66" s="1"/>
  <c r="L70" i="25" s="1"/>
  <c r="BB41" i="23"/>
  <c r="BE41" s="1"/>
  <c r="BF41" s="1"/>
  <c r="T50" i="24" s="1"/>
  <c r="BC43" i="23"/>
  <c r="BT39"/>
  <c r="AI61"/>
  <c r="AF61"/>
  <c r="L65" i="24" s="1"/>
  <c r="BP43" i="23"/>
  <c r="BO41"/>
  <c r="BR41" s="1"/>
  <c r="BU41" s="1"/>
  <c r="BP68"/>
  <c r="BO66"/>
  <c r="BR66" s="1"/>
  <c r="AT64"/>
  <c r="AC43"/>
  <c r="AB41"/>
  <c r="AE41" s="1"/>
  <c r="AI41" s="1"/>
  <c r="AT38"/>
  <c r="P47" i="25" s="1"/>
  <c r="BI64" i="23"/>
  <c r="BI63" s="1"/>
  <c r="BH64"/>
  <c r="BH63" s="1"/>
  <c r="AS64"/>
  <c r="P68" i="24" s="1"/>
  <c r="AP68" i="23"/>
  <c r="AO66"/>
  <c r="AR66" s="1"/>
  <c r="AU66" s="1"/>
  <c r="AI64"/>
  <c r="AI63" s="1"/>
  <c r="AV61"/>
  <c r="AS61"/>
  <c r="P65" i="24" s="1"/>
  <c r="AG39" i="23"/>
  <c r="AP43"/>
  <c r="AO41"/>
  <c r="AR41" s="1"/>
  <c r="S39"/>
  <c r="H48" i="24" s="1"/>
  <c r="V39" i="23"/>
  <c r="U39"/>
  <c r="H48" i="26" s="1"/>
  <c r="T39" i="23"/>
  <c r="H48" i="25" s="1"/>
  <c r="T61" i="23"/>
  <c r="H65" i="25" s="1"/>
  <c r="U64" i="23"/>
  <c r="T64"/>
  <c r="H68" i="25" s="1"/>
  <c r="S64" i="23"/>
  <c r="V64"/>
  <c r="V61"/>
  <c r="S61"/>
  <c r="H65" i="24" s="1"/>
  <c r="T36" i="23"/>
  <c r="H45" i="25" s="1"/>
  <c r="V36" i="23"/>
  <c r="D40"/>
  <c r="B41"/>
  <c r="E41" s="1"/>
  <c r="C43"/>
  <c r="F39"/>
  <c r="I39"/>
  <c r="H48" i="27" s="1"/>
  <c r="G39" i="23"/>
  <c r="P68"/>
  <c r="O66"/>
  <c r="R66" s="1"/>
  <c r="O41"/>
  <c r="R41" s="1"/>
  <c r="P43"/>
  <c r="J45" i="26" l="1"/>
  <c r="J46" s="1"/>
  <c r="H45"/>
  <c r="I45" s="1"/>
  <c r="I46" s="1"/>
  <c r="H68"/>
  <c r="G63" i="23"/>
  <c r="D67" i="27" s="1"/>
  <c r="D65" i="24"/>
  <c r="F65" s="1"/>
  <c r="F66" s="1"/>
  <c r="D68" i="25"/>
  <c r="V60" i="18"/>
  <c r="V61"/>
  <c r="G66" i="23"/>
  <c r="G65" s="1"/>
  <c r="J45" i="24"/>
  <c r="J46" s="1"/>
  <c r="D68" i="26"/>
  <c r="L68" s="1"/>
  <c r="F63" i="23"/>
  <c r="D67" i="24" s="1"/>
  <c r="J65" i="27"/>
  <c r="J66" s="1"/>
  <c r="I63" i="23"/>
  <c r="H67" i="27" s="1"/>
  <c r="I67" s="1"/>
  <c r="I68" s="1"/>
  <c r="Q45" i="25"/>
  <c r="Q46" s="1"/>
  <c r="I45" i="24"/>
  <c r="I46" s="1"/>
  <c r="M45"/>
  <c r="M46" s="1"/>
  <c r="F66" i="23"/>
  <c r="D70" i="24" s="1"/>
  <c r="R45" i="25"/>
  <c r="R46" s="1"/>
  <c r="AS38" i="23"/>
  <c r="P47" i="24" s="1"/>
  <c r="Q47" s="1"/>
  <c r="Q48" s="1"/>
  <c r="H66" i="23"/>
  <c r="H65" s="1"/>
  <c r="B68"/>
  <c r="E68" s="1"/>
  <c r="G68" s="1"/>
  <c r="AV38"/>
  <c r="AQ68"/>
  <c r="AQ67"/>
  <c r="BD67"/>
  <c r="BD68"/>
  <c r="C70"/>
  <c r="D70" s="1"/>
  <c r="Q68"/>
  <c r="Q67"/>
  <c r="AD67"/>
  <c r="AD68"/>
  <c r="D43"/>
  <c r="BQ68"/>
  <c r="BQ67"/>
  <c r="BD43"/>
  <c r="BD42"/>
  <c r="AQ43"/>
  <c r="AQ42"/>
  <c r="AD43"/>
  <c r="AD42"/>
  <c r="Q42"/>
  <c r="Q43"/>
  <c r="D67"/>
  <c r="BQ42"/>
  <c r="BQ43"/>
  <c r="N45" i="24"/>
  <c r="N46" s="1"/>
  <c r="T63" i="23"/>
  <c r="H67" i="25" s="1"/>
  <c r="AF41" i="23"/>
  <c r="AF40" s="1"/>
  <c r="L49" i="24" s="1"/>
  <c r="AH66" i="23"/>
  <c r="AH65" s="1"/>
  <c r="AS66"/>
  <c r="P70" i="24" s="1"/>
  <c r="Z45"/>
  <c r="Z46" s="1"/>
  <c r="AV66" i="23"/>
  <c r="S63"/>
  <c r="H67" i="24" s="1"/>
  <c r="H68"/>
  <c r="N43" i="27"/>
  <c r="H43" i="28"/>
  <c r="D43" i="29"/>
  <c r="M43" i="27"/>
  <c r="G38" i="23"/>
  <c r="D48" i="27"/>
  <c r="D48" i="25"/>
  <c r="I45"/>
  <c r="I46" s="1"/>
  <c r="J45"/>
  <c r="J46" s="1"/>
  <c r="D45" i="24"/>
  <c r="D45" i="26"/>
  <c r="E64" i="29"/>
  <c r="L64"/>
  <c r="F64"/>
  <c r="J42" i="28"/>
  <c r="I42"/>
  <c r="D48" i="26"/>
  <c r="D48" i="24"/>
  <c r="I65"/>
  <c r="I66" s="1"/>
  <c r="J65"/>
  <c r="J66" s="1"/>
  <c r="R47" i="25"/>
  <c r="R48" s="1"/>
  <c r="Q47"/>
  <c r="Q48" s="1"/>
  <c r="AG63" i="23"/>
  <c r="L67" i="25" s="1"/>
  <c r="L68"/>
  <c r="BT41" i="23"/>
  <c r="X50" i="25" s="1"/>
  <c r="U67" i="24"/>
  <c r="U68" s="1"/>
  <c r="L46" i="26"/>
  <c r="F43" i="24"/>
  <c r="F44" s="1"/>
  <c r="E43"/>
  <c r="E44" s="1"/>
  <c r="D45" i="27"/>
  <c r="D45" i="25"/>
  <c r="J64" i="28"/>
  <c r="I64"/>
  <c r="D66"/>
  <c r="H66" i="29"/>
  <c r="BS38" i="23"/>
  <c r="X47" i="24" s="1"/>
  <c r="X48"/>
  <c r="U38" i="23"/>
  <c r="AG38"/>
  <c r="L47" i="25" s="1"/>
  <c r="L48"/>
  <c r="AT66" i="23"/>
  <c r="P70" i="25" s="1"/>
  <c r="BV41" i="23"/>
  <c r="M65" i="24"/>
  <c r="M66" s="1"/>
  <c r="N65"/>
  <c r="N66" s="1"/>
  <c r="BG63" i="23"/>
  <c r="T67" i="25" s="1"/>
  <c r="T68"/>
  <c r="I45" i="27"/>
  <c r="I46" s="1"/>
  <c r="J45"/>
  <c r="J46" s="1"/>
  <c r="F42" i="28"/>
  <c r="E42"/>
  <c r="L42"/>
  <c r="N65" i="25"/>
  <c r="M65"/>
  <c r="F43" i="26"/>
  <c r="F44" s="1"/>
  <c r="E43"/>
  <c r="E44" s="1"/>
  <c r="L43"/>
  <c r="Y45" i="25"/>
  <c r="Y46" s="1"/>
  <c r="Z45"/>
  <c r="F65" i="27"/>
  <c r="F66" s="1"/>
  <c r="L65"/>
  <c r="E65"/>
  <c r="E66" s="1"/>
  <c r="J65" i="26"/>
  <c r="J66" s="1"/>
  <c r="I65"/>
  <c r="I66" s="1"/>
  <c r="U65" i="25"/>
  <c r="U66" s="1"/>
  <c r="V65"/>
  <c r="V66" s="1"/>
  <c r="M67" i="24"/>
  <c r="M68" s="1"/>
  <c r="N67"/>
  <c r="N68" s="1"/>
  <c r="Z65" i="25"/>
  <c r="Z66" s="1"/>
  <c r="Y65"/>
  <c r="Y66" s="1"/>
  <c r="AT63" i="23"/>
  <c r="P67" i="25" s="1"/>
  <c r="P68"/>
  <c r="BT38" i="23"/>
  <c r="X47" i="25" s="1"/>
  <c r="X48"/>
  <c r="BT63" i="23"/>
  <c r="X67" i="25" s="1"/>
  <c r="X68"/>
  <c r="U45" i="24"/>
  <c r="U46" s="1"/>
  <c r="V45"/>
  <c r="V46" s="1"/>
  <c r="N64" i="28"/>
  <c r="B63" s="1"/>
  <c r="M64"/>
  <c r="D66" i="29"/>
  <c r="H66" i="28"/>
  <c r="E25" i="30"/>
  <c r="G24"/>
  <c r="N66" i="25"/>
  <c r="M66"/>
  <c r="Z46"/>
  <c r="F65"/>
  <c r="F66" s="1"/>
  <c r="E65"/>
  <c r="E66" s="1"/>
  <c r="J65"/>
  <c r="J66" s="1"/>
  <c r="J67" s="1"/>
  <c r="J68" s="1"/>
  <c r="I65"/>
  <c r="I66" s="1"/>
  <c r="Q65" i="24"/>
  <c r="Q66" s="1"/>
  <c r="R65"/>
  <c r="R66" s="1"/>
  <c r="AG41" i="23"/>
  <c r="L50" i="25" s="1"/>
  <c r="BG65" i="23"/>
  <c r="T69" i="25" s="1"/>
  <c r="BV38" i="23"/>
  <c r="BG38"/>
  <c r="T47" i="25" s="1"/>
  <c r="J42" i="29"/>
  <c r="I42"/>
  <c r="M44" i="27"/>
  <c r="D44" i="29"/>
  <c r="H44" i="28"/>
  <c r="N44" i="27"/>
  <c r="L68"/>
  <c r="L46"/>
  <c r="D44" i="28"/>
  <c r="H44" i="29"/>
  <c r="F42"/>
  <c r="L42"/>
  <c r="E42"/>
  <c r="U66" i="24"/>
  <c r="V66"/>
  <c r="V67" s="1"/>
  <c r="V68" s="1"/>
  <c r="F65" i="26"/>
  <c r="F66" s="1"/>
  <c r="L65"/>
  <c r="E65"/>
  <c r="E66" s="1"/>
  <c r="R48" i="24"/>
  <c r="BH41" i="23"/>
  <c r="BH40" s="1"/>
  <c r="BI41"/>
  <c r="BI40" s="1"/>
  <c r="BG41"/>
  <c r="T50" i="25" s="1"/>
  <c r="AS41" i="23"/>
  <c r="P50" i="24" s="1"/>
  <c r="AU41" i="23"/>
  <c r="AU40" s="1"/>
  <c r="AT41"/>
  <c r="AV41"/>
  <c r="BT66"/>
  <c r="X70" i="25" s="1"/>
  <c r="BU66" i="23"/>
  <c r="BU65" s="1"/>
  <c r="BI38"/>
  <c r="BF38"/>
  <c r="T47" i="24" s="1"/>
  <c r="I38" i="23"/>
  <c r="H47" i="27" s="1"/>
  <c r="F38" i="23"/>
  <c r="AH41"/>
  <c r="AH40" s="1"/>
  <c r="BS41"/>
  <c r="X50" i="24" s="1"/>
  <c r="BF40" i="23"/>
  <c r="T49" i="24" s="1"/>
  <c r="AI66" i="23"/>
  <c r="BF66"/>
  <c r="T70" i="24" s="1"/>
  <c r="BU40" i="23"/>
  <c r="BH66"/>
  <c r="BH65" s="1"/>
  <c r="AI38"/>
  <c r="AF38"/>
  <c r="L47" i="24" s="1"/>
  <c r="AG65" i="23"/>
  <c r="L69" i="25" s="1"/>
  <c r="BI66" i="23"/>
  <c r="AV63"/>
  <c r="AS63"/>
  <c r="P67" i="24" s="1"/>
  <c r="BE43" i="23"/>
  <c r="BG43" s="1"/>
  <c r="T52" i="25" s="1"/>
  <c r="BB43" i="23"/>
  <c r="BC45"/>
  <c r="BH43"/>
  <c r="BF43"/>
  <c r="BF42" s="1"/>
  <c r="T51" i="24" s="1"/>
  <c r="BV63" i="23"/>
  <c r="BS63"/>
  <c r="X67" i="24" s="1"/>
  <c r="AP45" i="23"/>
  <c r="AS43"/>
  <c r="AU43"/>
  <c r="AR43"/>
  <c r="AT43" s="1"/>
  <c r="P52" i="25" s="1"/>
  <c r="AO43" i="23"/>
  <c r="F41"/>
  <c r="F40" s="1"/>
  <c r="AU65"/>
  <c r="AF43"/>
  <c r="AF42" s="1"/>
  <c r="L51" i="24" s="1"/>
  <c r="AE43" i="23"/>
  <c r="AB43"/>
  <c r="AC45"/>
  <c r="BV66"/>
  <c r="BP45"/>
  <c r="BO43"/>
  <c r="BR43" s="1"/>
  <c r="AF66"/>
  <c r="L70" i="24" s="1"/>
  <c r="BB68" i="23"/>
  <c r="BE68" s="1"/>
  <c r="BC70"/>
  <c r="AP70"/>
  <c r="AO68"/>
  <c r="AR68" s="1"/>
  <c r="AT68" s="1"/>
  <c r="P72" i="25" s="1"/>
  <c r="BS66" i="23"/>
  <c r="X70" i="24" s="1"/>
  <c r="BP70" i="23"/>
  <c r="BO68"/>
  <c r="BR68" s="1"/>
  <c r="AC70"/>
  <c r="AB68"/>
  <c r="AE68" s="1"/>
  <c r="U66"/>
  <c r="H70" i="26" s="1"/>
  <c r="T66" i="23"/>
  <c r="S66"/>
  <c r="V66"/>
  <c r="V38"/>
  <c r="S38"/>
  <c r="H47" i="24" s="1"/>
  <c r="V63" i="23"/>
  <c r="U63"/>
  <c r="H67" i="26" s="1"/>
  <c r="S41" i="23"/>
  <c r="H50" i="24" s="1"/>
  <c r="V41" i="23"/>
  <c r="U41"/>
  <c r="T41"/>
  <c r="T38"/>
  <c r="H47" i="25" s="1"/>
  <c r="D42" i="23"/>
  <c r="H68"/>
  <c r="G41"/>
  <c r="I41"/>
  <c r="H50" i="27" s="1"/>
  <c r="H41" i="23"/>
  <c r="H40" s="1"/>
  <c r="H43"/>
  <c r="C45"/>
  <c r="E43"/>
  <c r="B43"/>
  <c r="G43"/>
  <c r="O68"/>
  <c r="R68" s="1"/>
  <c r="P70"/>
  <c r="O43"/>
  <c r="R43" s="1"/>
  <c r="P45"/>
  <c r="F65" l="1"/>
  <c r="D69" i="26" s="1"/>
  <c r="D70" i="25"/>
  <c r="J47" i="26"/>
  <c r="H47"/>
  <c r="I47" s="1"/>
  <c r="D70" i="27"/>
  <c r="L70" s="1"/>
  <c r="H50" i="26"/>
  <c r="C72" i="23"/>
  <c r="D72" s="1"/>
  <c r="R47" i="24"/>
  <c r="D67" i="25"/>
  <c r="F67" s="1"/>
  <c r="F68" i="23"/>
  <c r="D72" i="26" s="1"/>
  <c r="U42" i="23"/>
  <c r="H51" i="26" s="1"/>
  <c r="S43" i="23"/>
  <c r="S42" s="1"/>
  <c r="H51" i="24" s="1"/>
  <c r="U43" i="23"/>
  <c r="H52" i="26" s="1"/>
  <c r="V43" i="23"/>
  <c r="T43"/>
  <c r="H52" i="25" s="1"/>
  <c r="BS43" i="23"/>
  <c r="BS42" s="1"/>
  <c r="X51" i="24" s="1"/>
  <c r="BT43" i="23"/>
  <c r="X52" i="25" s="1"/>
  <c r="BU43" i="23"/>
  <c r="BU42" s="1"/>
  <c r="BV43"/>
  <c r="F68" i="25"/>
  <c r="AH42" i="23"/>
  <c r="AG43"/>
  <c r="L52" i="25" s="1"/>
  <c r="BT42" i="23"/>
  <c r="X51" i="25" s="1"/>
  <c r="AS42" i="23"/>
  <c r="P51" i="24" s="1"/>
  <c r="F42" i="23"/>
  <c r="D51" i="24" s="1"/>
  <c r="BH42" i="23"/>
  <c r="AT42"/>
  <c r="P51" i="25" s="1"/>
  <c r="H42" i="23"/>
  <c r="E65" i="24"/>
  <c r="E66" s="1"/>
  <c r="I67" i="25"/>
  <c r="I68" s="1"/>
  <c r="G42" i="23"/>
  <c r="D51" i="25" s="1"/>
  <c r="I43" i="23"/>
  <c r="H52" i="27" s="1"/>
  <c r="AI43" i="23"/>
  <c r="AI42" s="1"/>
  <c r="E68" i="25"/>
  <c r="BG42" i="23"/>
  <c r="T51" i="25" s="1"/>
  <c r="AU42" i="23"/>
  <c r="F43"/>
  <c r="D52" i="26" s="1"/>
  <c r="AH43" i="23"/>
  <c r="AV43"/>
  <c r="BI43"/>
  <c r="BI42" s="1"/>
  <c r="T42"/>
  <c r="H51" i="25" s="1"/>
  <c r="D67" i="26"/>
  <c r="L67" s="1"/>
  <c r="D69" i="23"/>
  <c r="I68"/>
  <c r="H72" i="27" s="1"/>
  <c r="J67"/>
  <c r="J68" s="1"/>
  <c r="B70" i="23"/>
  <c r="E70" s="1"/>
  <c r="I70" s="1"/>
  <c r="H74" i="27" s="1"/>
  <c r="I65" i="23"/>
  <c r="H69" i="27" s="1"/>
  <c r="J69" s="1"/>
  <c r="J70" s="1"/>
  <c r="D70" i="26"/>
  <c r="H67" i="23"/>
  <c r="Q45"/>
  <c r="Q44"/>
  <c r="BQ45"/>
  <c r="BQ44"/>
  <c r="BQ70"/>
  <c r="BQ69"/>
  <c r="AQ44"/>
  <c r="AQ45"/>
  <c r="AI40"/>
  <c r="AD45"/>
  <c r="AD44"/>
  <c r="D45"/>
  <c r="BD69"/>
  <c r="BD70"/>
  <c r="BD45"/>
  <c r="BD44"/>
  <c r="L50" i="24"/>
  <c r="AQ70" i="23"/>
  <c r="AQ69"/>
  <c r="Q70"/>
  <c r="Q69"/>
  <c r="AD69"/>
  <c r="AD70"/>
  <c r="BT40"/>
  <c r="X49" i="25" s="1"/>
  <c r="AG40" i="23"/>
  <c r="L49" i="25" s="1"/>
  <c r="AT65" i="23"/>
  <c r="P69" i="25" s="1"/>
  <c r="AS65" i="23"/>
  <c r="P69" i="24" s="1"/>
  <c r="Q69" s="1"/>
  <c r="Q70" s="1"/>
  <c r="BF65" i="23"/>
  <c r="T69" i="24" s="1"/>
  <c r="U69" s="1"/>
  <c r="U70" s="1"/>
  <c r="I48" i="26"/>
  <c r="AV65" i="23"/>
  <c r="BI65"/>
  <c r="F67"/>
  <c r="D50" i="27"/>
  <c r="D50" i="25"/>
  <c r="J47" i="24"/>
  <c r="J48" s="1"/>
  <c r="I47"/>
  <c r="I48" s="1"/>
  <c r="T65" i="23"/>
  <c r="H69" i="25" s="1"/>
  <c r="I69" s="1"/>
  <c r="H70"/>
  <c r="L52" i="24"/>
  <c r="Q67"/>
  <c r="Q68" s="1"/>
  <c r="R67"/>
  <c r="R68" s="1"/>
  <c r="U49"/>
  <c r="U50" s="1"/>
  <c r="U51" s="1"/>
  <c r="D47" i="26"/>
  <c r="D47" i="24"/>
  <c r="BT65" i="23"/>
  <c r="X69" i="25" s="1"/>
  <c r="AT40" i="23"/>
  <c r="P49" i="25" s="1"/>
  <c r="P50"/>
  <c r="BG40" i="23"/>
  <c r="T49" i="25" s="1"/>
  <c r="H68" i="29"/>
  <c r="D68" i="28"/>
  <c r="N42" i="29"/>
  <c r="M42"/>
  <c r="A42" s="1"/>
  <c r="L44" i="28"/>
  <c r="U47" i="25"/>
  <c r="U48" s="1"/>
  <c r="V47"/>
  <c r="V48" s="1"/>
  <c r="Z68"/>
  <c r="Q68"/>
  <c r="Z47" i="24"/>
  <c r="Z48" s="1"/>
  <c r="Y47"/>
  <c r="E45" i="25"/>
  <c r="E46" s="1"/>
  <c r="F45"/>
  <c r="F46" s="1"/>
  <c r="H46" i="29"/>
  <c r="D46" i="28"/>
  <c r="F67" i="27"/>
  <c r="F68" s="1"/>
  <c r="E67"/>
  <c r="E68" s="1"/>
  <c r="L67"/>
  <c r="N68" i="25"/>
  <c r="N69" s="1"/>
  <c r="N70" s="1"/>
  <c r="M68"/>
  <c r="M69" s="1"/>
  <c r="M70" s="1"/>
  <c r="L48" i="27"/>
  <c r="D52"/>
  <c r="D52" i="25"/>
  <c r="I47"/>
  <c r="I48" s="1"/>
  <c r="J47"/>
  <c r="J48" s="1"/>
  <c r="AV42" i="23"/>
  <c r="P52" i="24"/>
  <c r="T52"/>
  <c r="D49"/>
  <c r="D49" i="26"/>
  <c r="J47" i="27"/>
  <c r="J48" s="1"/>
  <c r="I47"/>
  <c r="I48" s="1"/>
  <c r="H68" i="28"/>
  <c r="D68" i="29"/>
  <c r="I44" i="28"/>
  <c r="Z67" i="25"/>
  <c r="Y67"/>
  <c r="Y68" s="1"/>
  <c r="Z47"/>
  <c r="Z48" s="1"/>
  <c r="Y47"/>
  <c r="Y48" s="1"/>
  <c r="R67"/>
  <c r="R68" s="1"/>
  <c r="Q67"/>
  <c r="N65" i="27"/>
  <c r="N66" s="1"/>
  <c r="D65" i="29"/>
  <c r="H65" i="28"/>
  <c r="M65" i="27"/>
  <c r="M66" s="1"/>
  <c r="H43" i="29"/>
  <c r="L43" s="1"/>
  <c r="D43" i="28"/>
  <c r="N43" i="26"/>
  <c r="N44" s="1"/>
  <c r="M43"/>
  <c r="M44" s="1"/>
  <c r="N42" i="28"/>
  <c r="M42"/>
  <c r="A42" s="1"/>
  <c r="E45" i="27"/>
  <c r="E46" s="1"/>
  <c r="F45"/>
  <c r="F46" s="1"/>
  <c r="L45"/>
  <c r="M67" i="25"/>
  <c r="N67"/>
  <c r="L48" i="26"/>
  <c r="F45"/>
  <c r="F46" s="1"/>
  <c r="L45"/>
  <c r="E45"/>
  <c r="E46" s="1"/>
  <c r="D47" i="27"/>
  <c r="D47" i="25"/>
  <c r="G67" i="23"/>
  <c r="D72" i="25"/>
  <c r="D72" i="27"/>
  <c r="U65" i="23"/>
  <c r="H69" i="26" s="1"/>
  <c r="T40" i="23"/>
  <c r="H49" i="25" s="1"/>
  <c r="H50"/>
  <c r="J67" i="26"/>
  <c r="J68" s="1"/>
  <c r="I67"/>
  <c r="I68" s="1"/>
  <c r="X52" i="24"/>
  <c r="D50" i="26"/>
  <c r="D50" i="24"/>
  <c r="G40" i="23"/>
  <c r="U47" i="24"/>
  <c r="U48" s="1"/>
  <c r="V47"/>
  <c r="V48" s="1"/>
  <c r="V49" s="1"/>
  <c r="V50" s="1"/>
  <c r="V51" s="1"/>
  <c r="L44" i="29"/>
  <c r="L66"/>
  <c r="E67" i="24"/>
  <c r="E68" s="1"/>
  <c r="F67"/>
  <c r="F68" s="1"/>
  <c r="N47" i="25"/>
  <c r="N48" s="1"/>
  <c r="M47"/>
  <c r="M48" s="1"/>
  <c r="L66" i="28"/>
  <c r="F45" i="24"/>
  <c r="F46" s="1"/>
  <c r="E45"/>
  <c r="E46" s="1"/>
  <c r="F43" i="29"/>
  <c r="F44" s="1"/>
  <c r="E43"/>
  <c r="E44" s="1"/>
  <c r="I67" i="24"/>
  <c r="I68" s="1"/>
  <c r="J67"/>
  <c r="J68" s="1"/>
  <c r="U40" i="23"/>
  <c r="H49" i="26" s="1"/>
  <c r="S65" i="23"/>
  <c r="H69" i="24" s="1"/>
  <c r="H70"/>
  <c r="Z67"/>
  <c r="Z68" s="1"/>
  <c r="Y67"/>
  <c r="Y68" s="1"/>
  <c r="D69"/>
  <c r="M47"/>
  <c r="M48" s="1"/>
  <c r="M49" s="1"/>
  <c r="N47"/>
  <c r="N48" s="1"/>
  <c r="N49" s="1"/>
  <c r="N65" i="26"/>
  <c r="N66" s="1"/>
  <c r="D65" i="28"/>
  <c r="H65" i="29"/>
  <c r="M65" i="26"/>
  <c r="M66" s="1"/>
  <c r="H46" i="28"/>
  <c r="D46" i="29"/>
  <c r="D69" i="27"/>
  <c r="D69" i="25"/>
  <c r="E26" i="30"/>
  <c r="G25"/>
  <c r="V67" i="25"/>
  <c r="V68" s="1"/>
  <c r="V69" s="1"/>
  <c r="V70" s="1"/>
  <c r="U67"/>
  <c r="U68" s="1"/>
  <c r="U69" s="1"/>
  <c r="U70" s="1"/>
  <c r="Y48" i="24"/>
  <c r="J48" i="26"/>
  <c r="N64" i="29"/>
  <c r="B63" s="1"/>
  <c r="M64"/>
  <c r="I43" i="28"/>
  <c r="J43"/>
  <c r="J44" s="1"/>
  <c r="BV68" i="23"/>
  <c r="BU68"/>
  <c r="BU67" s="1"/>
  <c r="I40"/>
  <c r="H49" i="27" s="1"/>
  <c r="BV40" i="23"/>
  <c r="BS40"/>
  <c r="X49" i="24" s="1"/>
  <c r="AV40" i="23"/>
  <c r="AS40"/>
  <c r="P49" i="24" s="1"/>
  <c r="AU68" i="23"/>
  <c r="AU67" s="1"/>
  <c r="AF68"/>
  <c r="L72" i="24" s="1"/>
  <c r="AG68" i="23"/>
  <c r="L72" i="25" s="1"/>
  <c r="AI68" i="23"/>
  <c r="AH68"/>
  <c r="AH67" s="1"/>
  <c r="BG68"/>
  <c r="BH68"/>
  <c r="BH67" s="1"/>
  <c r="BI68"/>
  <c r="BF68"/>
  <c r="T72" i="24" s="1"/>
  <c r="BV65" i="23"/>
  <c r="BS65"/>
  <c r="X69" i="24" s="1"/>
  <c r="AC72" i="23"/>
  <c r="AB70"/>
  <c r="AE70" s="1"/>
  <c r="BC47"/>
  <c r="BB45"/>
  <c r="BE45" s="1"/>
  <c r="BT68"/>
  <c r="AS68"/>
  <c r="P72" i="24" s="1"/>
  <c r="AP72" i="23"/>
  <c r="AO70"/>
  <c r="AR70" s="1"/>
  <c r="BC72"/>
  <c r="BB70"/>
  <c r="BE70" s="1"/>
  <c r="BH70" s="1"/>
  <c r="AI65"/>
  <c r="AF65"/>
  <c r="L69" i="24" s="1"/>
  <c r="BO45" i="23"/>
  <c r="BT45"/>
  <c r="X54" i="25" s="1"/>
  <c r="BR45" i="23"/>
  <c r="BS45" s="1"/>
  <c r="BS44" s="1"/>
  <c r="X53" i="24" s="1"/>
  <c r="BP47" i="23"/>
  <c r="AS45"/>
  <c r="AS44" s="1"/>
  <c r="P53" i="24" s="1"/>
  <c r="AR45" i="23"/>
  <c r="AT45" s="1"/>
  <c r="P54" i="25" s="1"/>
  <c r="AP47" i="23"/>
  <c r="AO45"/>
  <c r="BS68"/>
  <c r="BP72"/>
  <c r="BO70"/>
  <c r="BR70" s="1"/>
  <c r="AT67"/>
  <c r="P71" i="25" s="1"/>
  <c r="AV68" i="23"/>
  <c r="AC47"/>
  <c r="AB45"/>
  <c r="AE45" s="1"/>
  <c r="V40"/>
  <c r="V65"/>
  <c r="U68"/>
  <c r="H72" i="26" s="1"/>
  <c r="T68" i="23"/>
  <c r="H72" i="25" s="1"/>
  <c r="S68" i="23"/>
  <c r="V68"/>
  <c r="S40"/>
  <c r="H49" i="24" s="1"/>
  <c r="D44" i="23"/>
  <c r="H70"/>
  <c r="C74"/>
  <c r="D74" s="1"/>
  <c r="B45"/>
  <c r="E45" s="1"/>
  <c r="C47"/>
  <c r="G70"/>
  <c r="R45"/>
  <c r="U45" s="1"/>
  <c r="H54" i="26" s="1"/>
  <c r="O45" i="23"/>
  <c r="P47"/>
  <c r="P72"/>
  <c r="O70"/>
  <c r="R70" s="1"/>
  <c r="D52" i="24" l="1"/>
  <c r="F70" i="23"/>
  <c r="D74" i="26" s="1"/>
  <c r="D51" i="27"/>
  <c r="D71" i="23"/>
  <c r="D72" i="24"/>
  <c r="F67" i="26"/>
  <c r="F68" s="1"/>
  <c r="BV42" i="23"/>
  <c r="M50" i="24"/>
  <c r="M51" s="1"/>
  <c r="M52" s="1"/>
  <c r="H52"/>
  <c r="E67" i="26"/>
  <c r="E68" s="1"/>
  <c r="E67" i="25"/>
  <c r="H69" i="23"/>
  <c r="B72"/>
  <c r="E72" s="1"/>
  <c r="H72" s="1"/>
  <c r="AH44"/>
  <c r="AH45"/>
  <c r="AF45"/>
  <c r="AF44" s="1"/>
  <c r="L53" i="24" s="1"/>
  <c r="AG45" i="23"/>
  <c r="L54" i="25" s="1"/>
  <c r="AI45" i="23"/>
  <c r="BI45"/>
  <c r="BF45"/>
  <c r="BF44" s="1"/>
  <c r="T53" i="24" s="1"/>
  <c r="BH45" i="23"/>
  <c r="BH44" s="1"/>
  <c r="BG45"/>
  <c r="T54" i="25" s="1"/>
  <c r="H44" i="23"/>
  <c r="I45"/>
  <c r="H54" i="27" s="1"/>
  <c r="G45" i="23"/>
  <c r="G44" s="1"/>
  <c r="H45"/>
  <c r="F45"/>
  <c r="F44" s="1"/>
  <c r="D53" i="26" s="1"/>
  <c r="F70"/>
  <c r="AT44" i="23"/>
  <c r="P53" i="25" s="1"/>
  <c r="AU45" i="23"/>
  <c r="BU45"/>
  <c r="T44"/>
  <c r="H53" i="25" s="1"/>
  <c r="D51" i="26"/>
  <c r="L51" s="1"/>
  <c r="D51" i="28" s="1"/>
  <c r="U44" i="23"/>
  <c r="H53" i="26" s="1"/>
  <c r="T45" i="23"/>
  <c r="H54" i="25" s="1"/>
  <c r="I42" i="23"/>
  <c r="H51" i="27" s="1"/>
  <c r="BU44" i="23"/>
  <c r="BV45"/>
  <c r="BV44" s="1"/>
  <c r="S45"/>
  <c r="S44" s="1"/>
  <c r="H53" i="24" s="1"/>
  <c r="L52" i="26"/>
  <c r="BT44" i="23"/>
  <c r="X53" i="25" s="1"/>
  <c r="AU44" i="23"/>
  <c r="V45"/>
  <c r="AV45"/>
  <c r="V42"/>
  <c r="Q69" i="25"/>
  <c r="Q70" s="1"/>
  <c r="AG42" i="23"/>
  <c r="L51" i="25" s="1"/>
  <c r="T67" i="23"/>
  <c r="H71" i="25" s="1"/>
  <c r="I67" i="23"/>
  <c r="H71" i="27" s="1"/>
  <c r="J71" s="1"/>
  <c r="J72" s="1"/>
  <c r="N50" i="24"/>
  <c r="N51" s="1"/>
  <c r="N52" s="1"/>
  <c r="L70" i="26"/>
  <c r="D70" i="28" s="1"/>
  <c r="I69" i="27"/>
  <c r="I70" s="1"/>
  <c r="I49" i="26"/>
  <c r="Z49" i="25"/>
  <c r="Z50" s="1"/>
  <c r="Z51" s="1"/>
  <c r="Z52" s="1"/>
  <c r="N49"/>
  <c r="N50" s="1"/>
  <c r="Y49"/>
  <c r="Y50" s="1"/>
  <c r="Y51" s="1"/>
  <c r="Y52" s="1"/>
  <c r="J69"/>
  <c r="BQ46" i="23"/>
  <c r="BQ47"/>
  <c r="AQ72"/>
  <c r="AQ71"/>
  <c r="Q72"/>
  <c r="Q71"/>
  <c r="AD47"/>
  <c r="AD46"/>
  <c r="M49" i="25"/>
  <c r="M50" s="1"/>
  <c r="BD47" i="23"/>
  <c r="BD46"/>
  <c r="Q46"/>
  <c r="Q47"/>
  <c r="D47"/>
  <c r="BQ72"/>
  <c r="BQ71"/>
  <c r="AQ47"/>
  <c r="AQ46"/>
  <c r="BD71"/>
  <c r="BD72"/>
  <c r="AD71"/>
  <c r="AD72"/>
  <c r="R69" i="25"/>
  <c r="R70" s="1"/>
  <c r="R71" s="1"/>
  <c r="R72" s="1"/>
  <c r="R69" i="24"/>
  <c r="R70" s="1"/>
  <c r="I50" i="26"/>
  <c r="I51" s="1"/>
  <c r="I52" s="1"/>
  <c r="V69" i="24"/>
  <c r="V70" s="1"/>
  <c r="J49" i="26"/>
  <c r="J50" s="1"/>
  <c r="J51" s="1"/>
  <c r="J52" s="1"/>
  <c r="BS70" i="23"/>
  <c r="X74" i="24" s="1"/>
  <c r="BV70" i="23"/>
  <c r="BT70"/>
  <c r="X74" i="25" s="1"/>
  <c r="BU70" i="23"/>
  <c r="BU69" s="1"/>
  <c r="D54" i="26"/>
  <c r="L54" s="1"/>
  <c r="J49" i="24"/>
  <c r="J50" s="1"/>
  <c r="J51" s="1"/>
  <c r="I49"/>
  <c r="I50" s="1"/>
  <c r="I51" s="1"/>
  <c r="BT67" i="23"/>
  <c r="X71" i="25" s="1"/>
  <c r="X72"/>
  <c r="BG67" i="23"/>
  <c r="T71" i="25" s="1"/>
  <c r="T72"/>
  <c r="N67" i="26"/>
  <c r="N68" s="1"/>
  <c r="H67" i="29"/>
  <c r="D67" i="28"/>
  <c r="M67" i="26"/>
  <c r="M68" s="1"/>
  <c r="E27" i="30"/>
  <c r="G26"/>
  <c r="L46" i="28"/>
  <c r="J65" i="29"/>
  <c r="J66" s="1"/>
  <c r="I65"/>
  <c r="I66" s="1"/>
  <c r="F69" i="26"/>
  <c r="L69"/>
  <c r="E69"/>
  <c r="E70" s="1"/>
  <c r="M43" i="29"/>
  <c r="N43"/>
  <c r="I49" i="25"/>
  <c r="J49"/>
  <c r="J50" s="1"/>
  <c r="J51" s="1"/>
  <c r="J52" s="1"/>
  <c r="J70" i="26"/>
  <c r="L72" i="27"/>
  <c r="H45" i="29"/>
  <c r="D45" i="28"/>
  <c r="N45" i="26"/>
  <c r="N46" s="1"/>
  <c r="M45"/>
  <c r="M46" s="1"/>
  <c r="I43" i="29"/>
  <c r="I44" s="1"/>
  <c r="J43"/>
  <c r="J44" s="1"/>
  <c r="L68" i="28"/>
  <c r="F47" i="26"/>
  <c r="F48" s="1"/>
  <c r="L47"/>
  <c r="E47"/>
  <c r="E48" s="1"/>
  <c r="V52" i="24"/>
  <c r="L50" i="27"/>
  <c r="M69" i="24"/>
  <c r="M70" s="1"/>
  <c r="N69"/>
  <c r="N70" s="1"/>
  <c r="Z49"/>
  <c r="Z50" s="1"/>
  <c r="Z51" s="1"/>
  <c r="Z52" s="1"/>
  <c r="Z53" s="1"/>
  <c r="Y49"/>
  <c r="Y50" s="1"/>
  <c r="Y51" s="1"/>
  <c r="Y52" s="1"/>
  <c r="Y53" s="1"/>
  <c r="F69" i="25"/>
  <c r="F70" s="1"/>
  <c r="E69"/>
  <c r="E70" s="1"/>
  <c r="E65" i="28"/>
  <c r="E66" s="1"/>
  <c r="L65"/>
  <c r="F65"/>
  <c r="F66" s="1"/>
  <c r="N44" i="29"/>
  <c r="M44"/>
  <c r="I69" i="26"/>
  <c r="I70" s="1"/>
  <c r="J69"/>
  <c r="E47" i="25"/>
  <c r="E48" s="1"/>
  <c r="F47"/>
  <c r="F48" s="1"/>
  <c r="D48" i="29"/>
  <c r="H48" i="28"/>
  <c r="H67"/>
  <c r="D67" i="29"/>
  <c r="M67" i="27"/>
  <c r="M68" s="1"/>
  <c r="N67"/>
  <c r="N68" s="1"/>
  <c r="R49" i="25"/>
  <c r="R50" s="1"/>
  <c r="R51" s="1"/>
  <c r="R52" s="1"/>
  <c r="Q49"/>
  <c r="Q50" s="1"/>
  <c r="Q51" s="1"/>
  <c r="Q52" s="1"/>
  <c r="J70"/>
  <c r="I70"/>
  <c r="AV44" i="23"/>
  <c r="P54" i="24"/>
  <c r="D74" i="27"/>
  <c r="D74" i="25"/>
  <c r="S67" i="23"/>
  <c r="H71" i="24" s="1"/>
  <c r="H72"/>
  <c r="Q71" i="25"/>
  <c r="Q72" s="1"/>
  <c r="AG67" i="23"/>
  <c r="L71" i="25" s="1"/>
  <c r="G69" i="23"/>
  <c r="F69" i="27"/>
  <c r="F70" s="1"/>
  <c r="E69"/>
  <c r="E70" s="1"/>
  <c r="L69"/>
  <c r="I70" i="24"/>
  <c r="J70"/>
  <c r="D49" i="25"/>
  <c r="D49" i="27"/>
  <c r="F50" i="24"/>
  <c r="F51" s="1"/>
  <c r="D52" i="28"/>
  <c r="H52" i="29"/>
  <c r="D71" i="27"/>
  <c r="D71" i="25"/>
  <c r="E47" i="27"/>
  <c r="E48" s="1"/>
  <c r="F47"/>
  <c r="F48" s="1"/>
  <c r="L47"/>
  <c r="J65" i="28"/>
  <c r="J66" s="1"/>
  <c r="I65"/>
  <c r="I66" s="1"/>
  <c r="L68" i="29"/>
  <c r="F49" i="26"/>
  <c r="L49"/>
  <c r="E49"/>
  <c r="Y69" i="25"/>
  <c r="Y70" s="1"/>
  <c r="Z69"/>
  <c r="Z70" s="1"/>
  <c r="L72" i="26"/>
  <c r="BV67" i="23"/>
  <c r="X72" i="24"/>
  <c r="X54"/>
  <c r="Y69"/>
  <c r="Y70" s="1"/>
  <c r="Z69"/>
  <c r="Z70" s="1"/>
  <c r="R49"/>
  <c r="R50" s="1"/>
  <c r="R51" s="1"/>
  <c r="R52" s="1"/>
  <c r="R53" s="1"/>
  <c r="Q49"/>
  <c r="Q50" s="1"/>
  <c r="Q51" s="1"/>
  <c r="Q52" s="1"/>
  <c r="Q53" s="1"/>
  <c r="I49" i="27"/>
  <c r="I50" s="1"/>
  <c r="I51" s="1"/>
  <c r="I52" s="1"/>
  <c r="J49"/>
  <c r="J50" s="1"/>
  <c r="L46" i="29"/>
  <c r="E69" i="24"/>
  <c r="E70" s="1"/>
  <c r="F69"/>
  <c r="F70" s="1"/>
  <c r="I69"/>
  <c r="J69"/>
  <c r="E50" i="26"/>
  <c r="F50"/>
  <c r="L50"/>
  <c r="I50" i="25"/>
  <c r="I51" s="1"/>
  <c r="I52" s="1"/>
  <c r="D48" i="28"/>
  <c r="H48" i="29"/>
  <c r="M45" i="27"/>
  <c r="M46" s="1"/>
  <c r="D45" i="29"/>
  <c r="H45" i="28"/>
  <c r="N45" i="27"/>
  <c r="N46" s="1"/>
  <c r="L43" i="28"/>
  <c r="F43"/>
  <c r="F44" s="1"/>
  <c r="E43"/>
  <c r="E44" s="1"/>
  <c r="L65" i="29"/>
  <c r="E65"/>
  <c r="E66" s="1"/>
  <c r="F65"/>
  <c r="F66" s="1"/>
  <c r="D70"/>
  <c r="H70" i="28"/>
  <c r="F49" i="24"/>
  <c r="L52" i="27"/>
  <c r="V49" i="25"/>
  <c r="V50" s="1"/>
  <c r="V51" s="1"/>
  <c r="V52" s="1"/>
  <c r="U49"/>
  <c r="U50" s="1"/>
  <c r="U51" s="1"/>
  <c r="U52" s="1"/>
  <c r="E47" i="24"/>
  <c r="E48" s="1"/>
  <c r="E49" s="1"/>
  <c r="E50" s="1"/>
  <c r="E51" s="1"/>
  <c r="F47"/>
  <c r="F48" s="1"/>
  <c r="U52"/>
  <c r="D71" i="26"/>
  <c r="D71" i="24"/>
  <c r="AS70" i="23"/>
  <c r="P74" i="24" s="1"/>
  <c r="AV70" i="23"/>
  <c r="AU70"/>
  <c r="AU69" s="1"/>
  <c r="AT70"/>
  <c r="P74" i="25" s="1"/>
  <c r="AF70" i="23"/>
  <c r="L74" i="24" s="1"/>
  <c r="AH70" i="23"/>
  <c r="AH69" s="1"/>
  <c r="AI70"/>
  <c r="AG70"/>
  <c r="L74" i="25" s="1"/>
  <c r="BF70" i="23"/>
  <c r="T74" i="24" s="1"/>
  <c r="BC74" i="23"/>
  <c r="BB72"/>
  <c r="BE72" s="1"/>
  <c r="BI72" s="1"/>
  <c r="AO72"/>
  <c r="AR72" s="1"/>
  <c r="AV72" s="1"/>
  <c r="AP74"/>
  <c r="BS67"/>
  <c r="X71" i="24" s="1"/>
  <c r="AC49" i="23"/>
  <c r="AF47"/>
  <c r="AF46" s="1"/>
  <c r="L55" i="24" s="1"/>
  <c r="AE47" i="23"/>
  <c r="AB47"/>
  <c r="AP49"/>
  <c r="AO47"/>
  <c r="AR47" s="1"/>
  <c r="BI70"/>
  <c r="BB47"/>
  <c r="BE47" s="1"/>
  <c r="BC49"/>
  <c r="AV67"/>
  <c r="AS67"/>
  <c r="P71" i="24" s="1"/>
  <c r="BI67" i="23"/>
  <c r="BF67"/>
  <c r="T71" i="24" s="1"/>
  <c r="AI67" i="23"/>
  <c r="AF67"/>
  <c r="L71" i="24" s="1"/>
  <c r="BP74" i="23"/>
  <c r="BO72"/>
  <c r="BR72" s="1"/>
  <c r="BV72" s="1"/>
  <c r="BV47"/>
  <c r="BR47"/>
  <c r="BT47" s="1"/>
  <c r="X56" i="25" s="1"/>
  <c r="BO47" i="23"/>
  <c r="BP49"/>
  <c r="BG70"/>
  <c r="BH69"/>
  <c r="AC74"/>
  <c r="AB72"/>
  <c r="AE72" s="1"/>
  <c r="AH72" s="1"/>
  <c r="U70"/>
  <c r="H74" i="26" s="1"/>
  <c r="T70" i="23"/>
  <c r="H74" i="25" s="1"/>
  <c r="S70" i="23"/>
  <c r="V70"/>
  <c r="U67"/>
  <c r="H71" i="26" s="1"/>
  <c r="V67" i="23"/>
  <c r="D46"/>
  <c r="D73"/>
  <c r="C49"/>
  <c r="B47"/>
  <c r="E47" s="1"/>
  <c r="B74"/>
  <c r="E74" s="1"/>
  <c r="C76"/>
  <c r="D76" s="1"/>
  <c r="O72"/>
  <c r="R72" s="1"/>
  <c r="P74"/>
  <c r="P49"/>
  <c r="O47"/>
  <c r="R47" s="1"/>
  <c r="D74" i="24" l="1"/>
  <c r="U53"/>
  <c r="U54" s="1"/>
  <c r="F51" i="26"/>
  <c r="F52" s="1"/>
  <c r="F53" s="1"/>
  <c r="F54" s="1"/>
  <c r="D53" i="24"/>
  <c r="I53" i="26"/>
  <c r="I54" s="1"/>
  <c r="F69" i="23"/>
  <c r="D73" i="24" s="1"/>
  <c r="E51" i="26"/>
  <c r="E52" s="1"/>
  <c r="E53" s="1"/>
  <c r="I69" i="23"/>
  <c r="H73" i="27" s="1"/>
  <c r="F52" i="24"/>
  <c r="E52"/>
  <c r="L51" i="27"/>
  <c r="D51" i="29" s="1"/>
  <c r="H71" i="23"/>
  <c r="N51" i="25"/>
  <c r="N52" s="1"/>
  <c r="M53" i="24"/>
  <c r="H54"/>
  <c r="AI44" i="23"/>
  <c r="L54" i="24"/>
  <c r="I52"/>
  <c r="I53" s="1"/>
  <c r="I54" s="1"/>
  <c r="H51" i="29"/>
  <c r="J53" i="26"/>
  <c r="J54" s="1"/>
  <c r="J52" i="24"/>
  <c r="J53" s="1"/>
  <c r="J54" s="1"/>
  <c r="D54"/>
  <c r="H70" i="29"/>
  <c r="I72" i="23"/>
  <c r="H76" i="27" s="1"/>
  <c r="F72" i="23"/>
  <c r="F71" s="1"/>
  <c r="Q53" i="25"/>
  <c r="Q54" s="1"/>
  <c r="BI44" i="23"/>
  <c r="N53" i="24"/>
  <c r="V53"/>
  <c r="V54" s="1"/>
  <c r="T54"/>
  <c r="M51" i="25"/>
  <c r="M52" s="1"/>
  <c r="G72" i="23"/>
  <c r="D76" i="27" s="1"/>
  <c r="V44" i="23"/>
  <c r="BH46"/>
  <c r="BF47"/>
  <c r="BF46" s="1"/>
  <c r="T55" i="24" s="1"/>
  <c r="BI47" i="23"/>
  <c r="BG47"/>
  <c r="T56" i="25" s="1"/>
  <c r="BH47" i="23"/>
  <c r="I47"/>
  <c r="H56" i="27" s="1"/>
  <c r="F47" i="23"/>
  <c r="F46" s="1"/>
  <c r="D55" i="26" s="1"/>
  <c r="G47" i="23"/>
  <c r="D56" i="25" s="1"/>
  <c r="H47" i="23"/>
  <c r="H46" s="1"/>
  <c r="D53" i="25"/>
  <c r="D53" i="27"/>
  <c r="AV47" i="23"/>
  <c r="AT47"/>
  <c r="P56" i="25" s="1"/>
  <c r="AS47" i="23"/>
  <c r="AS46" s="1"/>
  <c r="P55" i="24" s="1"/>
  <c r="AU47" i="23"/>
  <c r="AU46" s="1"/>
  <c r="U46"/>
  <c r="S47"/>
  <c r="S46" s="1"/>
  <c r="H55" i="24" s="1"/>
  <c r="T47" i="23"/>
  <c r="H56" i="25" s="1"/>
  <c r="V47" i="23"/>
  <c r="U47"/>
  <c r="H56" i="26" s="1"/>
  <c r="J51" i="27"/>
  <c r="J52" s="1"/>
  <c r="AG46" i="23"/>
  <c r="L55" i="25" s="1"/>
  <c r="Y53"/>
  <c r="Y54" s="1"/>
  <c r="AG44" i="23"/>
  <c r="L53" i="25" s="1"/>
  <c r="M53" s="1"/>
  <c r="M54" s="1"/>
  <c r="AH47" i="23"/>
  <c r="AH46" s="1"/>
  <c r="I53" i="25"/>
  <c r="I54" s="1"/>
  <c r="BU47" i="23"/>
  <c r="BU46" s="1"/>
  <c r="AG47"/>
  <c r="L56" i="25" s="1"/>
  <c r="D54" i="27"/>
  <c r="L54" s="1"/>
  <c r="I71"/>
  <c r="I72" s="1"/>
  <c r="AT46" i="23"/>
  <c r="P55" i="25" s="1"/>
  <c r="BG44" i="23"/>
  <c r="T53" i="25" s="1"/>
  <c r="U53" s="1"/>
  <c r="U54" s="1"/>
  <c r="AI47" i="23"/>
  <c r="AI46" s="1"/>
  <c r="D54" i="25"/>
  <c r="L53" i="26"/>
  <c r="BT46" i="23"/>
  <c r="X55" i="25" s="1"/>
  <c r="BS47" i="23"/>
  <c r="BS46" s="1"/>
  <c r="X55" i="24" s="1"/>
  <c r="R53" i="25"/>
  <c r="R54" s="1"/>
  <c r="J53"/>
  <c r="J54" s="1"/>
  <c r="I44" i="23"/>
  <c r="H53" i="27" s="1"/>
  <c r="Z53" i="25"/>
  <c r="Z54" s="1"/>
  <c r="Z55" s="1"/>
  <c r="Z56" s="1"/>
  <c r="I71"/>
  <c r="I72" s="1"/>
  <c r="J71"/>
  <c r="J72" s="1"/>
  <c r="E54" i="26"/>
  <c r="R54" i="24"/>
  <c r="R55" s="1"/>
  <c r="BV69" i="23"/>
  <c r="AD73"/>
  <c r="AD74"/>
  <c r="Q74"/>
  <c r="Q73"/>
  <c r="AD49"/>
  <c r="AD48"/>
  <c r="BD73"/>
  <c r="BD74"/>
  <c r="D49"/>
  <c r="AQ74"/>
  <c r="AQ73"/>
  <c r="BQ74"/>
  <c r="BQ73"/>
  <c r="Q49"/>
  <c r="Q48"/>
  <c r="BQ49"/>
  <c r="BQ48"/>
  <c r="BD49"/>
  <c r="BD48"/>
  <c r="AQ48"/>
  <c r="AQ49"/>
  <c r="AG69"/>
  <c r="L73" i="25" s="1"/>
  <c r="AT69" i="23"/>
  <c r="P73" i="25" s="1"/>
  <c r="R73" s="1"/>
  <c r="R74" s="1"/>
  <c r="BS69" i="23"/>
  <c r="X73" i="24" s="1"/>
  <c r="Q54"/>
  <c r="Q55" s="1"/>
  <c r="BT69" i="23"/>
  <c r="X73" i="25" s="1"/>
  <c r="T69" i="23"/>
  <c r="H73" i="25" s="1"/>
  <c r="I73" s="1"/>
  <c r="BS72" i="23"/>
  <c r="X76" i="24" s="1"/>
  <c r="AU72" i="23"/>
  <c r="AU71" s="1"/>
  <c r="BU72"/>
  <c r="BU71" s="1"/>
  <c r="BT72"/>
  <c r="X76" i="25" s="1"/>
  <c r="D76" i="24"/>
  <c r="BG69" i="23"/>
  <c r="T73" i="25" s="1"/>
  <c r="T74"/>
  <c r="U71" i="24"/>
  <c r="U72" s="1"/>
  <c r="V71"/>
  <c r="V72" s="1"/>
  <c r="L56"/>
  <c r="I73" i="27"/>
  <c r="I74" s="1"/>
  <c r="J73"/>
  <c r="J74" s="1"/>
  <c r="E71" i="24"/>
  <c r="E72" s="1"/>
  <c r="F71"/>
  <c r="F72" s="1"/>
  <c r="F45" i="29"/>
  <c r="F46" s="1"/>
  <c r="L45"/>
  <c r="E45"/>
  <c r="E46" s="1"/>
  <c r="F71" i="25"/>
  <c r="F72" s="1"/>
  <c r="E71"/>
  <c r="E72" s="1"/>
  <c r="L52" i="28"/>
  <c r="N69" i="27"/>
  <c r="N70" s="1"/>
  <c r="D69" i="29"/>
  <c r="H69" i="28"/>
  <c r="M69" i="27"/>
  <c r="M70" s="1"/>
  <c r="N71" i="25"/>
  <c r="N72" s="1"/>
  <c r="M71"/>
  <c r="M72" s="1"/>
  <c r="Z54" i="24"/>
  <c r="Z55" s="1"/>
  <c r="L70" i="28"/>
  <c r="H50"/>
  <c r="D50" i="29"/>
  <c r="H47"/>
  <c r="D47" i="28"/>
  <c r="N47" i="26"/>
  <c r="N48" s="1"/>
  <c r="M47"/>
  <c r="M48" s="1"/>
  <c r="M49" s="1"/>
  <c r="M50" s="1"/>
  <c r="M51" s="1"/>
  <c r="M52" s="1"/>
  <c r="J67" i="29"/>
  <c r="J68" s="1"/>
  <c r="I67"/>
  <c r="I68" s="1"/>
  <c r="V72" i="25"/>
  <c r="Z72"/>
  <c r="S69" i="23"/>
  <c r="H73" i="24" s="1"/>
  <c r="H74"/>
  <c r="BV46" i="23"/>
  <c r="X56" i="24"/>
  <c r="Z71"/>
  <c r="Z72" s="1"/>
  <c r="Y71"/>
  <c r="F71" i="26"/>
  <c r="F72" s="1"/>
  <c r="L71"/>
  <c r="E71"/>
  <c r="E72" s="1"/>
  <c r="N43" i="28"/>
  <c r="N44" s="1"/>
  <c r="M43"/>
  <c r="M44" s="1"/>
  <c r="L48"/>
  <c r="H72" i="29"/>
  <c r="D72" i="28"/>
  <c r="H49" i="29"/>
  <c r="D49" i="28"/>
  <c r="N49" i="26"/>
  <c r="M47" i="27"/>
  <c r="M48" s="1"/>
  <c r="H47" i="28"/>
  <c r="D47" i="29"/>
  <c r="N47" i="27"/>
  <c r="N48" s="1"/>
  <c r="L71"/>
  <c r="E71"/>
  <c r="E72" s="1"/>
  <c r="F71"/>
  <c r="F72" s="1"/>
  <c r="E49"/>
  <c r="E50" s="1"/>
  <c r="E51" s="1"/>
  <c r="E52" s="1"/>
  <c r="L49"/>
  <c r="F49"/>
  <c r="F50" s="1"/>
  <c r="F51" s="1"/>
  <c r="F52" s="1"/>
  <c r="L74"/>
  <c r="Y54" i="24"/>
  <c r="Y55" s="1"/>
  <c r="F45" i="28"/>
  <c r="F46" s="1"/>
  <c r="L45"/>
  <c r="E45"/>
  <c r="E46" s="1"/>
  <c r="N69" i="26"/>
  <c r="N70" s="1"/>
  <c r="D69" i="28"/>
  <c r="H69" i="29"/>
  <c r="M69" i="26"/>
  <c r="M70" s="1"/>
  <c r="E28" i="30"/>
  <c r="G27"/>
  <c r="U71" i="25"/>
  <c r="U72" s="1"/>
  <c r="V71"/>
  <c r="Y71"/>
  <c r="Y72" s="1"/>
  <c r="Z71"/>
  <c r="H54" i="29"/>
  <c r="D54" i="28"/>
  <c r="I74" i="25"/>
  <c r="AG72" i="23"/>
  <c r="L76" i="25" s="1"/>
  <c r="M71" i="24"/>
  <c r="M72" s="1"/>
  <c r="N71"/>
  <c r="N72" s="1"/>
  <c r="Q71"/>
  <c r="Q72" s="1"/>
  <c r="R71"/>
  <c r="R72" s="1"/>
  <c r="D52" i="29"/>
  <c r="L52" s="1"/>
  <c r="H52" i="28"/>
  <c r="N65" i="29"/>
  <c r="N66" s="1"/>
  <c r="M65"/>
  <c r="M66" s="1"/>
  <c r="F49" i="25"/>
  <c r="F50" s="1"/>
  <c r="F51" s="1"/>
  <c r="F52" s="1"/>
  <c r="E49"/>
  <c r="E50" s="1"/>
  <c r="E51" s="1"/>
  <c r="E52" s="1"/>
  <c r="J71" i="24"/>
  <c r="J72" s="1"/>
  <c r="I71"/>
  <c r="I72" s="1"/>
  <c r="F67" i="29"/>
  <c r="F68" s="1"/>
  <c r="E67"/>
  <c r="E68" s="1"/>
  <c r="L67"/>
  <c r="L48"/>
  <c r="J45"/>
  <c r="J46" s="1"/>
  <c r="I45"/>
  <c r="I46" s="1"/>
  <c r="I71" i="26"/>
  <c r="I72" s="1"/>
  <c r="J71"/>
  <c r="J72" s="1"/>
  <c r="U69" i="23"/>
  <c r="H73" i="26" s="1"/>
  <c r="L74"/>
  <c r="AV46" i="23"/>
  <c r="P56" i="24"/>
  <c r="L70" i="29"/>
  <c r="J45" i="28"/>
  <c r="J46" s="1"/>
  <c r="I45"/>
  <c r="I46" s="1"/>
  <c r="N50" i="26"/>
  <c r="N51" s="1"/>
  <c r="N52" s="1"/>
  <c r="H50" i="29"/>
  <c r="D50" i="28"/>
  <c r="Y72" i="24"/>
  <c r="D73" i="27"/>
  <c r="D73" i="25"/>
  <c r="J67" i="28"/>
  <c r="J68" s="1"/>
  <c r="I67"/>
  <c r="I68" s="1"/>
  <c r="N65"/>
  <c r="N66" s="1"/>
  <c r="M65"/>
  <c r="M66" s="1"/>
  <c r="H72"/>
  <c r="D72" i="29"/>
  <c r="F67" i="28"/>
  <c r="F68" s="1"/>
  <c r="L67"/>
  <c r="E67"/>
  <c r="E68" s="1"/>
  <c r="AS72" i="23"/>
  <c r="AV69"/>
  <c r="F74"/>
  <c r="G74"/>
  <c r="G73" s="1"/>
  <c r="I74"/>
  <c r="H78" i="27" s="1"/>
  <c r="H74" i="23"/>
  <c r="H73" s="1"/>
  <c r="AH71"/>
  <c r="BO74"/>
  <c r="BR74" s="1"/>
  <c r="BP76"/>
  <c r="BF72"/>
  <c r="BI69"/>
  <c r="BF69"/>
  <c r="T73" i="24" s="1"/>
  <c r="AI69" i="23"/>
  <c r="AF69"/>
  <c r="L73" i="24" s="1"/>
  <c r="AI72" i="23"/>
  <c r="AC76"/>
  <c r="AB74"/>
  <c r="AE74" s="1"/>
  <c r="BC51"/>
  <c r="BI49"/>
  <c r="BH49"/>
  <c r="BF49"/>
  <c r="BE49"/>
  <c r="BG49" s="1"/>
  <c r="T58" i="25" s="1"/>
  <c r="BB49" i="23"/>
  <c r="BF71"/>
  <c r="T75" i="24" s="1"/>
  <c r="BO49" i="23"/>
  <c r="BU49"/>
  <c r="BT49"/>
  <c r="X58" i="25" s="1"/>
  <c r="BV49" i="23"/>
  <c r="BR49"/>
  <c r="BS49" s="1"/>
  <c r="BS48" s="1"/>
  <c r="X57" i="24" s="1"/>
  <c r="BP51" i="23"/>
  <c r="AP51"/>
  <c r="AV49"/>
  <c r="AS49"/>
  <c r="AS48" s="1"/>
  <c r="P57" i="24" s="1"/>
  <c r="AU49" i="23"/>
  <c r="AR49"/>
  <c r="AO49"/>
  <c r="AB49"/>
  <c r="AG49"/>
  <c r="L58" i="25" s="1"/>
  <c r="AF48" i="23"/>
  <c r="L57" i="24" s="1"/>
  <c r="AC51" i="23"/>
  <c r="AI49"/>
  <c r="AH49"/>
  <c r="AF49"/>
  <c r="AE49"/>
  <c r="AO74"/>
  <c r="AR74" s="1"/>
  <c r="AP76"/>
  <c r="BH72"/>
  <c r="BH71" s="1"/>
  <c r="AF72"/>
  <c r="L76" i="24" s="1"/>
  <c r="AT72" i="23"/>
  <c r="BG72"/>
  <c r="BC76"/>
  <c r="BB74"/>
  <c r="BE74"/>
  <c r="AS69"/>
  <c r="P73" i="24" s="1"/>
  <c r="V69" i="23"/>
  <c r="U72"/>
  <c r="H76" i="26" s="1"/>
  <c r="T72" i="23"/>
  <c r="S72"/>
  <c r="H76" i="24" s="1"/>
  <c r="V72" i="23"/>
  <c r="D75"/>
  <c r="D48"/>
  <c r="C78"/>
  <c r="D78" s="1"/>
  <c r="B76"/>
  <c r="E76" s="1"/>
  <c r="G49"/>
  <c r="H49"/>
  <c r="C51"/>
  <c r="I49"/>
  <c r="H58" i="27" s="1"/>
  <c r="B49" i="23"/>
  <c r="E49"/>
  <c r="F49" s="1"/>
  <c r="F48" s="1"/>
  <c r="D57" i="24" s="1"/>
  <c r="P51" i="23"/>
  <c r="R49"/>
  <c r="U49" s="1"/>
  <c r="H58" i="26" s="1"/>
  <c r="O49" i="23"/>
  <c r="P76"/>
  <c r="O74"/>
  <c r="R74" s="1"/>
  <c r="F53" i="24" l="1"/>
  <c r="F54" s="1"/>
  <c r="D76" i="26"/>
  <c r="L76" s="1"/>
  <c r="J55" i="24"/>
  <c r="J56" s="1"/>
  <c r="D73" i="26"/>
  <c r="L73" s="1"/>
  <c r="E53" i="24"/>
  <c r="R55" i="25"/>
  <c r="R56" s="1"/>
  <c r="H55" i="26"/>
  <c r="I55" s="1"/>
  <c r="I56" s="1"/>
  <c r="I55" i="24"/>
  <c r="H51" i="28"/>
  <c r="L51" s="1"/>
  <c r="E53" i="27"/>
  <c r="E54" s="1"/>
  <c r="Y55" i="25"/>
  <c r="Y56" s="1"/>
  <c r="F55" i="26"/>
  <c r="M54" i="24"/>
  <c r="M55" s="1"/>
  <c r="M56" s="1"/>
  <c r="M57" s="1"/>
  <c r="T56"/>
  <c r="N54"/>
  <c r="N55" s="1"/>
  <c r="N56" s="1"/>
  <c r="N57" s="1"/>
  <c r="J53" i="27"/>
  <c r="J54" s="1"/>
  <c r="E54" i="24"/>
  <c r="E55" i="26"/>
  <c r="G71" i="23"/>
  <c r="D75" i="25" s="1"/>
  <c r="D76"/>
  <c r="J55" i="26"/>
  <c r="J56" s="1"/>
  <c r="H56" i="24"/>
  <c r="Q55" i="25"/>
  <c r="Q56" s="1"/>
  <c r="D55" i="24"/>
  <c r="E55" s="1"/>
  <c r="I46" i="23"/>
  <c r="H55" i="27" s="1"/>
  <c r="D56"/>
  <c r="L56" s="1"/>
  <c r="H56" i="28" s="1"/>
  <c r="D56" i="26"/>
  <c r="L56" s="1"/>
  <c r="I71" i="23"/>
  <c r="H75" i="27" s="1"/>
  <c r="D56" i="24"/>
  <c r="V53" i="25"/>
  <c r="V54" s="1"/>
  <c r="M55"/>
  <c r="M56" s="1"/>
  <c r="H53" i="29"/>
  <c r="D53" i="28"/>
  <c r="AG48" i="23"/>
  <c r="L57" i="25" s="1"/>
  <c r="T46" i="23"/>
  <c r="H55" i="25" s="1"/>
  <c r="F53"/>
  <c r="F54" s="1"/>
  <c r="F53" i="27"/>
  <c r="F54" s="1"/>
  <c r="U55" i="24"/>
  <c r="T48" i="23"/>
  <c r="H57" i="25" s="1"/>
  <c r="BG48" i="23"/>
  <c r="T57" i="25" s="1"/>
  <c r="AU48" i="23"/>
  <c r="BU48"/>
  <c r="E53" i="25"/>
  <c r="E54" s="1"/>
  <c r="M53" i="26"/>
  <c r="M54" s="1"/>
  <c r="I53" i="27"/>
  <c r="I54" s="1"/>
  <c r="BG46" i="23"/>
  <c r="T55" i="25" s="1"/>
  <c r="G46" i="23"/>
  <c r="U48"/>
  <c r="H57" i="26" s="1"/>
  <c r="V49" i="23"/>
  <c r="BH48"/>
  <c r="V55" i="24"/>
  <c r="V56" s="1"/>
  <c r="L53" i="27"/>
  <c r="T49" i="23"/>
  <c r="H58" i="25" s="1"/>
  <c r="AH48" i="23"/>
  <c r="AT49"/>
  <c r="P58" i="25" s="1"/>
  <c r="BF48" i="23"/>
  <c r="T57" i="24" s="1"/>
  <c r="N53" i="26"/>
  <c r="N54" s="1"/>
  <c r="Y73" i="25"/>
  <c r="Y74" s="1"/>
  <c r="BT48" i="23"/>
  <c r="X57" i="25" s="1"/>
  <c r="S49" i="23"/>
  <c r="S48" s="1"/>
  <c r="H57" i="24" s="1"/>
  <c r="Y73"/>
  <c r="Y74" s="1"/>
  <c r="H48" i="23"/>
  <c r="V46"/>
  <c r="BI46"/>
  <c r="M73" i="25"/>
  <c r="M74" s="1"/>
  <c r="G48" i="23"/>
  <c r="D57" i="25" s="1"/>
  <c r="N53"/>
  <c r="N54" s="1"/>
  <c r="N55" s="1"/>
  <c r="N56" s="1"/>
  <c r="L55" i="26"/>
  <c r="Z73" i="24"/>
  <c r="Z74" s="1"/>
  <c r="D77" i="25"/>
  <c r="D77" i="27"/>
  <c r="D57" i="26"/>
  <c r="Q73" i="25"/>
  <c r="Q74" s="1"/>
  <c r="BD75" i="23"/>
  <c r="BD76"/>
  <c r="AD51"/>
  <c r="AD50"/>
  <c r="AQ51"/>
  <c r="AT50" s="1"/>
  <c r="P59" i="25" s="1"/>
  <c r="AQ50" i="23"/>
  <c r="BQ76"/>
  <c r="BQ75"/>
  <c r="Q76"/>
  <c r="Q75"/>
  <c r="D51"/>
  <c r="G50" s="1"/>
  <c r="BD51"/>
  <c r="BD50"/>
  <c r="Z73" i="25"/>
  <c r="Z74" s="1"/>
  <c r="Q50" i="23"/>
  <c r="Q51"/>
  <c r="AQ76"/>
  <c r="AQ75"/>
  <c r="BQ50"/>
  <c r="BQ51"/>
  <c r="AD75"/>
  <c r="AD76"/>
  <c r="N73" i="25"/>
  <c r="N74" s="1"/>
  <c r="J73"/>
  <c r="J74" s="1"/>
  <c r="BV71" i="23"/>
  <c r="AG71"/>
  <c r="L75" i="25" s="1"/>
  <c r="N75" s="1"/>
  <c r="N76" s="1"/>
  <c r="BS71" i="23"/>
  <c r="X75" i="24" s="1"/>
  <c r="BT71" i="23"/>
  <c r="X75" i="25" s="1"/>
  <c r="Y75" s="1"/>
  <c r="Y76" s="1"/>
  <c r="Y56" i="24"/>
  <c r="Y57" s="1"/>
  <c r="U71" i="23"/>
  <c r="H75" i="26" s="1"/>
  <c r="Z56" i="24"/>
  <c r="Z57" s="1"/>
  <c r="T71" i="23"/>
  <c r="H75" i="25" s="1"/>
  <c r="J75" s="1"/>
  <c r="H76"/>
  <c r="BG71" i="23"/>
  <c r="T75" i="25" s="1"/>
  <c r="T76"/>
  <c r="D75" i="26"/>
  <c r="D75" i="24"/>
  <c r="AS71" i="23"/>
  <c r="P75" i="24" s="1"/>
  <c r="P76"/>
  <c r="L72" i="29"/>
  <c r="Q56" i="24"/>
  <c r="Q57" s="1"/>
  <c r="D49" i="29"/>
  <c r="H49" i="28"/>
  <c r="L49" s="1"/>
  <c r="N49" i="27"/>
  <c r="N50" s="1"/>
  <c r="N51" s="1"/>
  <c r="N52" s="1"/>
  <c r="M49"/>
  <c r="M50" s="1"/>
  <c r="M51" s="1"/>
  <c r="M52" s="1"/>
  <c r="I47" i="28"/>
  <c r="I48" s="1"/>
  <c r="J47"/>
  <c r="J48" s="1"/>
  <c r="N71" i="26"/>
  <c r="N72" s="1"/>
  <c r="H71" i="29"/>
  <c r="D71" i="28"/>
  <c r="M71" i="26"/>
  <c r="M72" s="1"/>
  <c r="I47" i="29"/>
  <c r="I48" s="1"/>
  <c r="J47"/>
  <c r="J48" s="1"/>
  <c r="F73" i="24"/>
  <c r="F74" s="1"/>
  <c r="E73"/>
  <c r="E74" s="1"/>
  <c r="V74" i="25"/>
  <c r="U74"/>
  <c r="D58" i="27"/>
  <c r="L58" s="1"/>
  <c r="D58" i="25"/>
  <c r="BI48" i="23"/>
  <c r="T58" i="24"/>
  <c r="U73"/>
  <c r="U74" s="1"/>
  <c r="U75" s="1"/>
  <c r="V73"/>
  <c r="V74" s="1"/>
  <c r="V75" s="1"/>
  <c r="D78" i="27"/>
  <c r="D78" i="25"/>
  <c r="H54" i="28"/>
  <c r="L54" s="1"/>
  <c r="D54" i="29"/>
  <c r="L54" s="1"/>
  <c r="L50" i="28"/>
  <c r="D74"/>
  <c r="H74" i="29"/>
  <c r="I69"/>
  <c r="I70" s="1"/>
  <c r="J69"/>
  <c r="J70" s="1"/>
  <c r="N45" i="28"/>
  <c r="N46" s="1"/>
  <c r="M45"/>
  <c r="M46" s="1"/>
  <c r="H71"/>
  <c r="D71" i="29"/>
  <c r="M71" i="27"/>
  <c r="M72" s="1"/>
  <c r="N71"/>
  <c r="N72" s="1"/>
  <c r="I49" i="29"/>
  <c r="I50" s="1"/>
  <c r="I51" s="1"/>
  <c r="I52" s="1"/>
  <c r="J49"/>
  <c r="I73" i="24"/>
  <c r="I74" s="1"/>
  <c r="J73"/>
  <c r="J74" s="1"/>
  <c r="J69" i="28"/>
  <c r="J70" s="1"/>
  <c r="I69"/>
  <c r="I70" s="1"/>
  <c r="N45" i="29"/>
  <c r="N46" s="1"/>
  <c r="M45"/>
  <c r="M46" s="1"/>
  <c r="V73" i="25"/>
  <c r="U73"/>
  <c r="L76" i="27"/>
  <c r="Q73" i="24"/>
  <c r="Q74" s="1"/>
  <c r="R73"/>
  <c r="R74" s="1"/>
  <c r="AT71" i="23"/>
  <c r="P75" i="25" s="1"/>
  <c r="P76"/>
  <c r="J75" i="27"/>
  <c r="J76" s="1"/>
  <c r="I75"/>
  <c r="I76" s="1"/>
  <c r="AV48" i="23"/>
  <c r="P58" i="24"/>
  <c r="D78" i="26"/>
  <c r="D78" i="24"/>
  <c r="N67" i="28"/>
  <c r="N68" s="1"/>
  <c r="M67"/>
  <c r="M68" s="1"/>
  <c r="F73" i="25"/>
  <c r="F74" s="1"/>
  <c r="E73"/>
  <c r="E74" s="1"/>
  <c r="J50" i="29"/>
  <c r="J51" s="1"/>
  <c r="J52" s="1"/>
  <c r="J74" i="26"/>
  <c r="L51" i="29"/>
  <c r="R56" i="24"/>
  <c r="R57" s="1"/>
  <c r="E69" i="28"/>
  <c r="E70" s="1"/>
  <c r="L69"/>
  <c r="F69"/>
  <c r="F70" s="1"/>
  <c r="D74" i="29"/>
  <c r="H74" i="28"/>
  <c r="L69" i="29"/>
  <c r="F69"/>
  <c r="F70" s="1"/>
  <c r="E69"/>
  <c r="E70" s="1"/>
  <c r="I48" i="23"/>
  <c r="H57" i="27" s="1"/>
  <c r="D58" i="26"/>
  <c r="L58" s="1"/>
  <c r="D58" i="24"/>
  <c r="V48" i="23"/>
  <c r="AI48"/>
  <c r="L58" i="24"/>
  <c r="BV48" i="23"/>
  <c r="X58" i="24"/>
  <c r="M73"/>
  <c r="M74" s="1"/>
  <c r="N73"/>
  <c r="N74" s="1"/>
  <c r="BI71" i="23"/>
  <c r="T76" i="24"/>
  <c r="F73" i="27"/>
  <c r="F74" s="1"/>
  <c r="L73"/>
  <c r="E73"/>
  <c r="E74" s="1"/>
  <c r="J73" i="26"/>
  <c r="I73"/>
  <c r="I74" s="1"/>
  <c r="N67" i="29"/>
  <c r="N68" s="1"/>
  <c r="M67"/>
  <c r="M68" s="1"/>
  <c r="E29" i="30"/>
  <c r="G28"/>
  <c r="L47" i="29"/>
  <c r="F47"/>
  <c r="F48" s="1"/>
  <c r="E47"/>
  <c r="E48" s="1"/>
  <c r="L72" i="28"/>
  <c r="L47"/>
  <c r="E47"/>
  <c r="E48" s="1"/>
  <c r="E49" s="1"/>
  <c r="E50" s="1"/>
  <c r="E51" s="1"/>
  <c r="E52" s="1"/>
  <c r="F47"/>
  <c r="F48" s="1"/>
  <c r="F49" s="1"/>
  <c r="F50" s="1"/>
  <c r="F51" s="1"/>
  <c r="F52" s="1"/>
  <c r="L50" i="29"/>
  <c r="AV71" i="23"/>
  <c r="U74"/>
  <c r="H78" i="26" s="1"/>
  <c r="T74" i="23"/>
  <c r="H78" i="25" s="1"/>
  <c r="V74" i="23"/>
  <c r="S74"/>
  <c r="AG74"/>
  <c r="L78" i="25" s="1"/>
  <c r="AH74" i="23"/>
  <c r="AH73" s="1"/>
  <c r="AF74"/>
  <c r="AI74"/>
  <c r="I76"/>
  <c r="H80" i="27" s="1"/>
  <c r="H76" i="23"/>
  <c r="H75" s="1"/>
  <c r="F76"/>
  <c r="G76"/>
  <c r="G75" s="1"/>
  <c r="D79" i="25" s="1"/>
  <c r="AS74" i="23"/>
  <c r="P78" i="24" s="1"/>
  <c r="AT74" i="23"/>
  <c r="P78" i="25" s="1"/>
  <c r="AU74" i="23"/>
  <c r="AU73" s="1"/>
  <c r="AV74"/>
  <c r="BU73"/>
  <c r="BV74"/>
  <c r="BU74"/>
  <c r="BS74"/>
  <c r="X78" i="24" s="1"/>
  <c r="BT74" i="23"/>
  <c r="X78" i="25" s="1"/>
  <c r="U51" i="23"/>
  <c r="H60" i="26" s="1"/>
  <c r="BF74" i="23"/>
  <c r="T78" i="24" s="1"/>
  <c r="AG73" i="23"/>
  <c r="L77" i="25" s="1"/>
  <c r="V71" i="23"/>
  <c r="BC78"/>
  <c r="BB76"/>
  <c r="BE76" s="1"/>
  <c r="AS50"/>
  <c r="P59" i="24" s="1"/>
  <c r="AT51" i="23"/>
  <c r="P60" i="25" s="1"/>
  <c r="AU51" i="23"/>
  <c r="AV51"/>
  <c r="AS51"/>
  <c r="AR51"/>
  <c r="AO51"/>
  <c r="AP53"/>
  <c r="BC53"/>
  <c r="BB51"/>
  <c r="BE51" s="1"/>
  <c r="BP78"/>
  <c r="BO76"/>
  <c r="BR76" s="1"/>
  <c r="BT73"/>
  <c r="X77" i="25" s="1"/>
  <c r="I73" i="23"/>
  <c r="H77" i="27" s="1"/>
  <c r="BH74" i="23"/>
  <c r="BH73" s="1"/>
  <c r="BG74"/>
  <c r="T78" i="25" s="1"/>
  <c r="AI71" i="23"/>
  <c r="AF71"/>
  <c r="L75" i="24" s="1"/>
  <c r="AT73" i="23"/>
  <c r="P77" i="25" s="1"/>
  <c r="BO51" i="23"/>
  <c r="BP53"/>
  <c r="BR51"/>
  <c r="BT51" s="1"/>
  <c r="X60" i="25" s="1"/>
  <c r="AC78" i="23"/>
  <c r="AB76"/>
  <c r="AE76"/>
  <c r="AG76" s="1"/>
  <c r="L80" i="25" s="1"/>
  <c r="BI74" i="23"/>
  <c r="AP78"/>
  <c r="AO76"/>
  <c r="AR76"/>
  <c r="AB51"/>
  <c r="AE51" s="1"/>
  <c r="AC53"/>
  <c r="AF73"/>
  <c r="L77" i="24" s="1"/>
  <c r="S73" i="23"/>
  <c r="H77" i="24" s="1"/>
  <c r="F73" i="23"/>
  <c r="S71"/>
  <c r="H75" i="24" s="1"/>
  <c r="D77" i="23"/>
  <c r="D50"/>
  <c r="B51"/>
  <c r="F51"/>
  <c r="F50" s="1"/>
  <c r="D59" i="26" s="1"/>
  <c r="G51" i="23"/>
  <c r="E51"/>
  <c r="C53"/>
  <c r="C80"/>
  <c r="D80" s="1"/>
  <c r="E78"/>
  <c r="B78"/>
  <c r="F78"/>
  <c r="R51"/>
  <c r="T51" s="1"/>
  <c r="H60" i="25" s="1"/>
  <c r="P53" i="23"/>
  <c r="O51"/>
  <c r="O76"/>
  <c r="R76" s="1"/>
  <c r="P78"/>
  <c r="D57" i="27" l="1"/>
  <c r="L57" s="1"/>
  <c r="H57" i="28" s="1"/>
  <c r="D56" i="29"/>
  <c r="L56" s="1"/>
  <c r="I56" i="24"/>
  <c r="I57" s="1"/>
  <c r="H58"/>
  <c r="F73" i="26"/>
  <c r="F74" s="1"/>
  <c r="J57"/>
  <c r="J58" s="1"/>
  <c r="E73"/>
  <c r="E74" s="1"/>
  <c r="F55" i="24"/>
  <c r="F53" i="28"/>
  <c r="F54" s="1"/>
  <c r="I57" i="26"/>
  <c r="I58" s="1"/>
  <c r="J55" i="27"/>
  <c r="J56" s="1"/>
  <c r="J57" s="1"/>
  <c r="J58" s="1"/>
  <c r="F56" i="24"/>
  <c r="F57" s="1"/>
  <c r="F58" s="1"/>
  <c r="E56"/>
  <c r="E57" s="1"/>
  <c r="E58" s="1"/>
  <c r="Y57" i="25"/>
  <c r="Y58" s="1"/>
  <c r="V57" i="24"/>
  <c r="V58" s="1"/>
  <c r="U56"/>
  <c r="U57" s="1"/>
  <c r="U58" s="1"/>
  <c r="E53" i="28"/>
  <c r="E54" s="1"/>
  <c r="I55" i="27"/>
  <c r="I56" s="1"/>
  <c r="I57" s="1"/>
  <c r="I58" s="1"/>
  <c r="D56" i="28"/>
  <c r="L56" s="1"/>
  <c r="H56" i="29"/>
  <c r="D75" i="27"/>
  <c r="F75" s="1"/>
  <c r="F76" s="1"/>
  <c r="F77" s="1"/>
  <c r="F78" s="1"/>
  <c r="E56" i="26"/>
  <c r="E57" s="1"/>
  <c r="E58" s="1"/>
  <c r="E59" s="1"/>
  <c r="F56"/>
  <c r="F57" s="1"/>
  <c r="F58" s="1"/>
  <c r="F59" s="1"/>
  <c r="M57" i="25"/>
  <c r="M58" s="1"/>
  <c r="L59" i="26"/>
  <c r="D59" i="28" s="1"/>
  <c r="AH50" i="23"/>
  <c r="AH51"/>
  <c r="AI51"/>
  <c r="AF51"/>
  <c r="AF50" s="1"/>
  <c r="L59" i="24" s="1"/>
  <c r="AG51" i="23"/>
  <c r="L60" i="25" s="1"/>
  <c r="BH51" i="23"/>
  <c r="BH50" s="1"/>
  <c r="BG51"/>
  <c r="T60" i="25" s="1"/>
  <c r="BI51" i="23"/>
  <c r="BF51"/>
  <c r="BF50" s="1"/>
  <c r="T59" i="24" s="1"/>
  <c r="U55" i="25"/>
  <c r="U56" s="1"/>
  <c r="U57" s="1"/>
  <c r="U58" s="1"/>
  <c r="V55"/>
  <c r="V56" s="1"/>
  <c r="V57" s="1"/>
  <c r="V58" s="1"/>
  <c r="S51" i="23"/>
  <c r="S50" s="1"/>
  <c r="H59" i="24" s="1"/>
  <c r="I53" i="29"/>
  <c r="I54" s="1"/>
  <c r="AT48" i="23"/>
  <c r="P57" i="25" s="1"/>
  <c r="M53" i="27"/>
  <c r="M54" s="1"/>
  <c r="H55" i="29"/>
  <c r="D55" i="28"/>
  <c r="I55" i="25"/>
  <c r="I56" s="1"/>
  <c r="I57" s="1"/>
  <c r="I58" s="1"/>
  <c r="J55"/>
  <c r="J56" s="1"/>
  <c r="J57" s="1"/>
  <c r="J58" s="1"/>
  <c r="I75" i="26"/>
  <c r="I76" s="1"/>
  <c r="I51" i="23"/>
  <c r="H60" i="27" s="1"/>
  <c r="BV51" i="23"/>
  <c r="N57" i="25"/>
  <c r="N58" s="1"/>
  <c r="Z57"/>
  <c r="Z58" s="1"/>
  <c r="Z59" s="1"/>
  <c r="Z60" s="1"/>
  <c r="N55" i="26"/>
  <c r="N56" s="1"/>
  <c r="D53" i="29"/>
  <c r="L53" s="1"/>
  <c r="H53" i="28"/>
  <c r="J53" i="29"/>
  <c r="J54" s="1"/>
  <c r="U50" i="23"/>
  <c r="H59" i="26" s="1"/>
  <c r="BT50" i="23"/>
  <c r="X59" i="25" s="1"/>
  <c r="N53" i="27"/>
  <c r="N54" s="1"/>
  <c r="BU51" i="23"/>
  <c r="BU50" s="1"/>
  <c r="AU50"/>
  <c r="T50"/>
  <c r="H59" i="25" s="1"/>
  <c r="D55"/>
  <c r="D55" i="27"/>
  <c r="L53" i="28"/>
  <c r="H51" i="23"/>
  <c r="H50" s="1"/>
  <c r="BS51"/>
  <c r="BS50" s="1"/>
  <c r="X59" i="24" s="1"/>
  <c r="V51" i="23"/>
  <c r="J57" i="24"/>
  <c r="Z75"/>
  <c r="Z76" s="1"/>
  <c r="AG50" i="23"/>
  <c r="L59" i="25" s="1"/>
  <c r="M59" s="1"/>
  <c r="M60" s="1"/>
  <c r="L57" i="26"/>
  <c r="D57" i="28" s="1"/>
  <c r="L57" s="1"/>
  <c r="M55" i="26"/>
  <c r="M56" s="1"/>
  <c r="T73" i="23"/>
  <c r="H77" i="25" s="1"/>
  <c r="D79" i="27"/>
  <c r="BG73" i="23"/>
  <c r="T77" i="25" s="1"/>
  <c r="L77" i="27"/>
  <c r="D59" i="24"/>
  <c r="BQ78" i="23"/>
  <c r="BQ77"/>
  <c r="AD53"/>
  <c r="AD52"/>
  <c r="Q53"/>
  <c r="Q52"/>
  <c r="BD53"/>
  <c r="BD52"/>
  <c r="BD77"/>
  <c r="BD78"/>
  <c r="D53"/>
  <c r="Q78"/>
  <c r="Q77"/>
  <c r="AQ78"/>
  <c r="AQ77"/>
  <c r="AD77"/>
  <c r="AD78"/>
  <c r="BQ53"/>
  <c r="BQ52"/>
  <c r="AQ52"/>
  <c r="AQ53"/>
  <c r="M75" i="25"/>
  <c r="M76" s="1"/>
  <c r="M77" s="1"/>
  <c r="M78" s="1"/>
  <c r="Y75" i="24"/>
  <c r="Y76" s="1"/>
  <c r="I75" i="25"/>
  <c r="I76" s="1"/>
  <c r="Z75"/>
  <c r="Z76" s="1"/>
  <c r="Z77" s="1"/>
  <c r="Z78" s="1"/>
  <c r="R58" i="24"/>
  <c r="R59" s="1"/>
  <c r="J75" i="26"/>
  <c r="J76" s="1"/>
  <c r="J75" i="24"/>
  <c r="J76" s="1"/>
  <c r="J77" s="1"/>
  <c r="I75"/>
  <c r="I76" s="1"/>
  <c r="M75"/>
  <c r="M76" s="1"/>
  <c r="M77" s="1"/>
  <c r="N75"/>
  <c r="N76" s="1"/>
  <c r="N77" s="1"/>
  <c r="I77" i="27"/>
  <c r="I78" s="1"/>
  <c r="J77"/>
  <c r="J78" s="1"/>
  <c r="AV50" i="23"/>
  <c r="P60" i="24"/>
  <c r="D80" i="27"/>
  <c r="L80" s="1"/>
  <c r="D80" i="25"/>
  <c r="V73" i="23"/>
  <c r="H78" i="24"/>
  <c r="M47" i="28"/>
  <c r="M48" s="1"/>
  <c r="M49" s="1"/>
  <c r="M50" s="1"/>
  <c r="M51" s="1"/>
  <c r="M52" s="1"/>
  <c r="N47"/>
  <c r="N48" s="1"/>
  <c r="N49" s="1"/>
  <c r="N50" s="1"/>
  <c r="N51" s="1"/>
  <c r="N52" s="1"/>
  <c r="N58" i="24"/>
  <c r="R75" i="25"/>
  <c r="R76" s="1"/>
  <c r="R77" s="1"/>
  <c r="R78" s="1"/>
  <c r="Q75"/>
  <c r="Q76" s="1"/>
  <c r="Q77" s="1"/>
  <c r="Q78" s="1"/>
  <c r="Z58" i="24"/>
  <c r="L74" i="28"/>
  <c r="L78" i="27"/>
  <c r="J71" i="29"/>
  <c r="J72" s="1"/>
  <c r="I71"/>
  <c r="I72" s="1"/>
  <c r="F49"/>
  <c r="F50" s="1"/>
  <c r="F51" s="1"/>
  <c r="F52" s="1"/>
  <c r="L49"/>
  <c r="E49"/>
  <c r="E50" s="1"/>
  <c r="E51" s="1"/>
  <c r="E52" s="1"/>
  <c r="Q75" i="24"/>
  <c r="Q76" s="1"/>
  <c r="R75"/>
  <c r="R76" s="1"/>
  <c r="J76" i="25"/>
  <c r="D60" i="27"/>
  <c r="L60" s="1"/>
  <c r="D60" i="25"/>
  <c r="D80" i="26"/>
  <c r="D80" i="24"/>
  <c r="AI73" i="23"/>
  <c r="L78" i="24"/>
  <c r="F75" i="25"/>
  <c r="F76" s="1"/>
  <c r="F77" s="1"/>
  <c r="F78" s="1"/>
  <c r="F79" s="1"/>
  <c r="E75"/>
  <c r="E76" s="1"/>
  <c r="E77" s="1"/>
  <c r="E78" s="1"/>
  <c r="E79" s="1"/>
  <c r="V76" i="24"/>
  <c r="U76"/>
  <c r="N69" i="28"/>
  <c r="N70" s="1"/>
  <c r="M69"/>
  <c r="M70" s="1"/>
  <c r="Y58" i="24"/>
  <c r="Y77" i="25"/>
  <c r="Y78" s="1"/>
  <c r="E75" i="24"/>
  <c r="E76" s="1"/>
  <c r="F75"/>
  <c r="F76" s="1"/>
  <c r="V75" i="25"/>
  <c r="V76" s="1"/>
  <c r="U75"/>
  <c r="U76" s="1"/>
  <c r="F77" i="23"/>
  <c r="D82" i="26"/>
  <c r="D82" i="24"/>
  <c r="D59" i="27"/>
  <c r="D59" i="25"/>
  <c r="D77" i="26"/>
  <c r="D77" i="24"/>
  <c r="D60" i="26"/>
  <c r="L60" s="1"/>
  <c r="D60" i="24"/>
  <c r="I77"/>
  <c r="M47" i="29"/>
  <c r="M48" s="1"/>
  <c r="N47"/>
  <c r="N48" s="1"/>
  <c r="E30" i="30"/>
  <c r="G30" s="1"/>
  <c r="G29"/>
  <c r="H58" i="29"/>
  <c r="D58" i="28"/>
  <c r="L58" s="1"/>
  <c r="H76" i="29"/>
  <c r="D76" i="28"/>
  <c r="F71" i="29"/>
  <c r="F72" s="1"/>
  <c r="L71"/>
  <c r="E71"/>
  <c r="E72" s="1"/>
  <c r="M58" i="24"/>
  <c r="H58" i="28"/>
  <c r="D58" i="29"/>
  <c r="Q58" i="24"/>
  <c r="Q59" s="1"/>
  <c r="F75" i="26"/>
  <c r="F76" s="1"/>
  <c r="E75"/>
  <c r="E76" s="1"/>
  <c r="L75"/>
  <c r="U73" i="23"/>
  <c r="H77" i="26" s="1"/>
  <c r="L78"/>
  <c r="M73" i="27"/>
  <c r="M74" s="1"/>
  <c r="D73" i="29"/>
  <c r="H73" i="28"/>
  <c r="N73" i="27"/>
  <c r="N74" s="1"/>
  <c r="N69" i="29"/>
  <c r="N70" s="1"/>
  <c r="M69"/>
  <c r="M70" s="1"/>
  <c r="H76" i="28"/>
  <c r="D76" i="29"/>
  <c r="N73" i="26"/>
  <c r="N74" s="1"/>
  <c r="D73" i="28"/>
  <c r="H73" i="29"/>
  <c r="M73" i="26"/>
  <c r="M74" s="1"/>
  <c r="J71" i="28"/>
  <c r="J72" s="1"/>
  <c r="I71"/>
  <c r="I72" s="1"/>
  <c r="N77" i="25"/>
  <c r="N78" s="1"/>
  <c r="L74" i="29"/>
  <c r="F71" i="28"/>
  <c r="F72" s="1"/>
  <c r="E71"/>
  <c r="E72" s="1"/>
  <c r="L71"/>
  <c r="J49"/>
  <c r="J50" s="1"/>
  <c r="J51" s="1"/>
  <c r="J52" s="1"/>
  <c r="I49"/>
  <c r="I50" s="1"/>
  <c r="I51" s="1"/>
  <c r="I52" s="1"/>
  <c r="BH76" i="23"/>
  <c r="BH75" s="1"/>
  <c r="BG76"/>
  <c r="T80" i="25" s="1"/>
  <c r="BF76" i="23"/>
  <c r="T80" i="24" s="1"/>
  <c r="BI76" i="23"/>
  <c r="BT76"/>
  <c r="X80" i="25" s="1"/>
  <c r="BV76" i="23"/>
  <c r="BU76"/>
  <c r="BU75" s="1"/>
  <c r="BS76"/>
  <c r="X80" i="24" s="1"/>
  <c r="S76" i="23"/>
  <c r="H80" i="24" s="1"/>
  <c r="V76" i="23"/>
  <c r="U76"/>
  <c r="H80" i="26" s="1"/>
  <c r="T76" i="23"/>
  <c r="H80" i="25" s="1"/>
  <c r="AC55" i="23"/>
  <c r="AB53"/>
  <c r="AE53" s="1"/>
  <c r="AH76"/>
  <c r="AH75" s="1"/>
  <c r="BV73"/>
  <c r="BS73"/>
  <c r="X77" i="24" s="1"/>
  <c r="AT76" i="23"/>
  <c r="AG75"/>
  <c r="L79" i="25" s="1"/>
  <c r="AI76" i="23"/>
  <c r="BP55"/>
  <c r="BR53"/>
  <c r="BO53"/>
  <c r="BV53"/>
  <c r="BP80"/>
  <c r="BO78"/>
  <c r="BR78" s="1"/>
  <c r="BT75"/>
  <c r="X79" i="25" s="1"/>
  <c r="BB53" i="23"/>
  <c r="BE53" s="1"/>
  <c r="BC55"/>
  <c r="H78"/>
  <c r="H77" s="1"/>
  <c r="AS76"/>
  <c r="P80" i="24" s="1"/>
  <c r="AP80" i="23"/>
  <c r="AO78"/>
  <c r="AR78" s="1"/>
  <c r="AF76"/>
  <c r="L80" i="24" s="1"/>
  <c r="BB78" i="23"/>
  <c r="BE78" s="1"/>
  <c r="BI78" s="1"/>
  <c r="BC80"/>
  <c r="I75"/>
  <c r="H79" i="27" s="1"/>
  <c r="F75" i="23"/>
  <c r="V53"/>
  <c r="I78"/>
  <c r="G78"/>
  <c r="G77" s="1"/>
  <c r="D81" i="27" s="1"/>
  <c r="AV76" i="23"/>
  <c r="AU76"/>
  <c r="AU75" s="1"/>
  <c r="AE78"/>
  <c r="AG78" s="1"/>
  <c r="L82" i="25" s="1"/>
  <c r="AB78" i="23"/>
  <c r="AC80"/>
  <c r="AV53"/>
  <c r="AS53"/>
  <c r="AS52" s="1"/>
  <c r="P61" i="24" s="1"/>
  <c r="AR53" i="23"/>
  <c r="AP55"/>
  <c r="AO53"/>
  <c r="AT53"/>
  <c r="P62" i="25" s="1"/>
  <c r="BI73" i="23"/>
  <c r="BF73"/>
  <c r="T77" i="24" s="1"/>
  <c r="AV73" i="23"/>
  <c r="AS73"/>
  <c r="P77" i="24" s="1"/>
  <c r="D52" i="23"/>
  <c r="D79"/>
  <c r="B80"/>
  <c r="E80" s="1"/>
  <c r="H80" s="1"/>
  <c r="C82"/>
  <c r="E53"/>
  <c r="B53"/>
  <c r="C55"/>
  <c r="H53"/>
  <c r="O78"/>
  <c r="R78"/>
  <c r="V78" s="1"/>
  <c r="P80"/>
  <c r="R53"/>
  <c r="U53" s="1"/>
  <c r="H62" i="26" s="1"/>
  <c r="O53" i="23"/>
  <c r="P55"/>
  <c r="D57" i="29" l="1"/>
  <c r="J58" i="24"/>
  <c r="J59" s="1"/>
  <c r="V50" i="23"/>
  <c r="I58" i="24"/>
  <c r="I59" s="1"/>
  <c r="L75" i="27"/>
  <c r="D75" i="29" s="1"/>
  <c r="Y59" i="25"/>
  <c r="Y60" s="1"/>
  <c r="I59" i="26"/>
  <c r="I60" s="1"/>
  <c r="E75" i="27"/>
  <c r="E76" s="1"/>
  <c r="E77" s="1"/>
  <c r="E78" s="1"/>
  <c r="E79" s="1"/>
  <c r="E80" s="1"/>
  <c r="E81" s="1"/>
  <c r="BV50" i="23"/>
  <c r="X60" i="24"/>
  <c r="Y60" s="1"/>
  <c r="M59"/>
  <c r="M60" s="1"/>
  <c r="N59"/>
  <c r="N60" s="1"/>
  <c r="L60"/>
  <c r="J59" i="26"/>
  <c r="J60" s="1"/>
  <c r="H60" i="24"/>
  <c r="E55" i="28"/>
  <c r="E56" s="1"/>
  <c r="E57" s="1"/>
  <c r="E58" s="1"/>
  <c r="E59" s="1"/>
  <c r="I59" i="25"/>
  <c r="I60" s="1"/>
  <c r="N59"/>
  <c r="N60" s="1"/>
  <c r="BI50" i="23"/>
  <c r="E77" i="26"/>
  <c r="E78" s="1"/>
  <c r="J59" i="25"/>
  <c r="J60" s="1"/>
  <c r="U59" i="24"/>
  <c r="AI50" i="23"/>
  <c r="E59" i="24"/>
  <c r="E60" s="1"/>
  <c r="J53" i="28"/>
  <c r="J54" s="1"/>
  <c r="I55" i="29"/>
  <c r="I56" s="1"/>
  <c r="BH52" i="23"/>
  <c r="BG53"/>
  <c r="T62" i="25" s="1"/>
  <c r="BF53" i="23"/>
  <c r="BI52" s="1"/>
  <c r="BH53"/>
  <c r="BI53"/>
  <c r="AI53"/>
  <c r="AF53"/>
  <c r="AF52" s="1"/>
  <c r="L61" i="24" s="1"/>
  <c r="AG53" i="23"/>
  <c r="L62" i="25" s="1"/>
  <c r="AH53" i="23"/>
  <c r="AH52" s="1"/>
  <c r="Q57" i="25"/>
  <c r="Q58" s="1"/>
  <c r="Q59" s="1"/>
  <c r="Q60" s="1"/>
  <c r="R57"/>
  <c r="R58" s="1"/>
  <c r="R59" s="1"/>
  <c r="R60" s="1"/>
  <c r="F55"/>
  <c r="F56" s="1"/>
  <c r="F57" s="1"/>
  <c r="F58" s="1"/>
  <c r="F59" s="1"/>
  <c r="F60" s="1"/>
  <c r="E55"/>
  <c r="E56" s="1"/>
  <c r="E57" s="1"/>
  <c r="E58" s="1"/>
  <c r="E59" s="1"/>
  <c r="E60" s="1"/>
  <c r="F77" i="24"/>
  <c r="F78" s="1"/>
  <c r="H52" i="23"/>
  <c r="BU52"/>
  <c r="BT52"/>
  <c r="X61" i="25" s="1"/>
  <c r="Z61" s="1"/>
  <c r="BU53" i="23"/>
  <c r="Y59" i="24"/>
  <c r="Z59"/>
  <c r="M57" i="26"/>
  <c r="M58" s="1"/>
  <c r="M59" s="1"/>
  <c r="M60" s="1"/>
  <c r="J55" i="29"/>
  <c r="J56" s="1"/>
  <c r="L55" i="27"/>
  <c r="M55" s="1"/>
  <c r="M56" s="1"/>
  <c r="M57" s="1"/>
  <c r="M58" s="1"/>
  <c r="F55"/>
  <c r="F56" s="1"/>
  <c r="F57" s="1"/>
  <c r="F58" s="1"/>
  <c r="F59" s="1"/>
  <c r="F60" s="1"/>
  <c r="E55"/>
  <c r="E56" s="1"/>
  <c r="E57" s="1"/>
  <c r="E58" s="1"/>
  <c r="E59" s="1"/>
  <c r="E60" s="1"/>
  <c r="I53" i="23"/>
  <c r="H62" i="27" s="1"/>
  <c r="F53" i="29"/>
  <c r="F54" s="1"/>
  <c r="BS52" i="23"/>
  <c r="X61" i="24" s="1"/>
  <c r="E53" i="29"/>
  <c r="E54" s="1"/>
  <c r="M53" i="28"/>
  <c r="M54" s="1"/>
  <c r="AT52" i="23"/>
  <c r="P61" i="25" s="1"/>
  <c r="N57" i="26"/>
  <c r="N58" s="1"/>
  <c r="N59" s="1"/>
  <c r="N60" s="1"/>
  <c r="BG50" i="23"/>
  <c r="T59" i="25" s="1"/>
  <c r="I50" i="23"/>
  <c r="H59" i="27" s="1"/>
  <c r="I59" s="1"/>
  <c r="I60" s="1"/>
  <c r="I53" i="28"/>
  <c r="I54" s="1"/>
  <c r="L58" i="29"/>
  <c r="T60" i="24"/>
  <c r="U52" i="23"/>
  <c r="H61" i="26" s="1"/>
  <c r="F53" i="23"/>
  <c r="F52" s="1"/>
  <c r="D61" i="24" s="1"/>
  <c r="G53" i="23"/>
  <c r="G52" s="1"/>
  <c r="AU53"/>
  <c r="AU52" s="1"/>
  <c r="T53"/>
  <c r="H59" i="29"/>
  <c r="N53" i="28"/>
  <c r="N54" s="1"/>
  <c r="H57" i="29"/>
  <c r="BS53" i="23"/>
  <c r="X62" i="24" s="1"/>
  <c r="S53" i="23"/>
  <c r="S52" s="1"/>
  <c r="H61" i="24" s="1"/>
  <c r="BT53" i="23"/>
  <c r="X62" i="25" s="1"/>
  <c r="V59" i="24"/>
  <c r="V60" s="1"/>
  <c r="F55" i="28"/>
  <c r="F56" s="1"/>
  <c r="F57" s="1"/>
  <c r="F58" s="1"/>
  <c r="F59" s="1"/>
  <c r="J77" i="25"/>
  <c r="J78" s="1"/>
  <c r="I77"/>
  <c r="I78" s="1"/>
  <c r="Q60" i="24"/>
  <c r="Q61" s="1"/>
  <c r="F79" i="27"/>
  <c r="F80" s="1"/>
  <c r="F81" s="1"/>
  <c r="AH78" i="23"/>
  <c r="D81" i="25"/>
  <c r="L80" i="26"/>
  <c r="D80" i="28" s="1"/>
  <c r="L80" s="1"/>
  <c r="U77" i="25"/>
  <c r="U78" s="1"/>
  <c r="BG75" i="23"/>
  <c r="T79" i="25" s="1"/>
  <c r="V77"/>
  <c r="V78" s="1"/>
  <c r="D77" i="29"/>
  <c r="H77" i="28"/>
  <c r="L79" i="27"/>
  <c r="T75" i="23"/>
  <c r="H79" i="25" s="1"/>
  <c r="BQ80" i="23"/>
  <c r="BQ79"/>
  <c r="AD55"/>
  <c r="AD54"/>
  <c r="D82"/>
  <c r="BD79"/>
  <c r="BD80"/>
  <c r="BQ54"/>
  <c r="BQ55"/>
  <c r="Q54"/>
  <c r="Q55"/>
  <c r="AQ80"/>
  <c r="AQ79"/>
  <c r="R60" i="24"/>
  <c r="R61" s="1"/>
  <c r="Q80" i="23"/>
  <c r="Q79"/>
  <c r="D55"/>
  <c r="AD79"/>
  <c r="AD80"/>
  <c r="AQ55"/>
  <c r="AQ54"/>
  <c r="BD55"/>
  <c r="BD54"/>
  <c r="E80" i="25"/>
  <c r="F80"/>
  <c r="U60" i="24"/>
  <c r="E77"/>
  <c r="E78" s="1"/>
  <c r="N79" i="25"/>
  <c r="N80" s="1"/>
  <c r="Q77" i="24"/>
  <c r="Q78" s="1"/>
  <c r="R77"/>
  <c r="R78" s="1"/>
  <c r="Y77"/>
  <c r="Y78" s="1"/>
  <c r="Z77"/>
  <c r="Z78" s="1"/>
  <c r="N71" i="28"/>
  <c r="N72" s="1"/>
  <c r="M71"/>
  <c r="M72" s="1"/>
  <c r="L73"/>
  <c r="F73"/>
  <c r="F74" s="1"/>
  <c r="E73"/>
  <c r="E74" s="1"/>
  <c r="L76"/>
  <c r="D81" i="26"/>
  <c r="D81" i="24"/>
  <c r="E60" i="26"/>
  <c r="F60"/>
  <c r="F59" i="24"/>
  <c r="F60" s="1"/>
  <c r="D78" i="29"/>
  <c r="H78" i="28"/>
  <c r="I78" i="24"/>
  <c r="J78"/>
  <c r="L76" i="29"/>
  <c r="Y79" i="25"/>
  <c r="Y80" s="1"/>
  <c r="N75" i="26"/>
  <c r="N76" s="1"/>
  <c r="H75" i="29"/>
  <c r="D75" i="28"/>
  <c r="M75" i="26"/>
  <c r="M76" s="1"/>
  <c r="M79" i="25"/>
  <c r="M80" s="1"/>
  <c r="U77" i="24"/>
  <c r="U78" s="1"/>
  <c r="V77"/>
  <c r="V78" s="1"/>
  <c r="D82" i="27"/>
  <c r="D82" i="25"/>
  <c r="D79" i="26"/>
  <c r="D79" i="24"/>
  <c r="J73" i="28"/>
  <c r="J74" s="1"/>
  <c r="I73"/>
  <c r="I74" s="1"/>
  <c r="J77" i="26"/>
  <c r="J78" s="1"/>
  <c r="I77"/>
  <c r="I78" s="1"/>
  <c r="Z79" i="25"/>
  <c r="Z80" s="1"/>
  <c r="D78" i="28"/>
  <c r="H78" i="29"/>
  <c r="D60" i="28"/>
  <c r="L60" s="1"/>
  <c r="H60" i="29"/>
  <c r="D60"/>
  <c r="H60" i="28"/>
  <c r="J79" i="27"/>
  <c r="J80" s="1"/>
  <c r="AV52" i="23"/>
  <c r="P62" i="24"/>
  <c r="I77" i="23"/>
  <c r="H81" i="27" s="1"/>
  <c r="L81" s="1"/>
  <c r="H82"/>
  <c r="AT75" i="23"/>
  <c r="P79" i="25" s="1"/>
  <c r="Q79" s="1"/>
  <c r="P80"/>
  <c r="U75" i="23"/>
  <c r="H79" i="26" s="1"/>
  <c r="J73" i="29"/>
  <c r="J74" s="1"/>
  <c r="I73"/>
  <c r="I74" s="1"/>
  <c r="L73"/>
  <c r="E73"/>
  <c r="E74" s="1"/>
  <c r="F73"/>
  <c r="F74" s="1"/>
  <c r="N71"/>
  <c r="N72" s="1"/>
  <c r="M71"/>
  <c r="M72" s="1"/>
  <c r="L77" i="26"/>
  <c r="F77"/>
  <c r="F78" s="1"/>
  <c r="N78" i="24"/>
  <c r="M78"/>
  <c r="N49" i="29"/>
  <c r="N50" s="1"/>
  <c r="N51" s="1"/>
  <c r="N52" s="1"/>
  <c r="N53" s="1"/>
  <c r="N54" s="1"/>
  <c r="M49"/>
  <c r="M50" s="1"/>
  <c r="M51" s="1"/>
  <c r="M52" s="1"/>
  <c r="M53" s="1"/>
  <c r="M54" s="1"/>
  <c r="H80" i="28"/>
  <c r="D80" i="29"/>
  <c r="L80" s="1"/>
  <c r="I79" i="27"/>
  <c r="I80" s="1"/>
  <c r="AV78" i="23"/>
  <c r="AT78"/>
  <c r="P82" i="25" s="1"/>
  <c r="AS78" i="23"/>
  <c r="P82" i="24" s="1"/>
  <c r="AU78" i="23"/>
  <c r="AU77" s="1"/>
  <c r="BS78"/>
  <c r="BU78"/>
  <c r="BU77" s="1"/>
  <c r="BT78"/>
  <c r="X82" i="25" s="1"/>
  <c r="BV78" i="23"/>
  <c r="AI78"/>
  <c r="AF78"/>
  <c r="L82" i="24" s="1"/>
  <c r="S78" i="23"/>
  <c r="H82" i="24" s="1"/>
  <c r="AT77" i="23"/>
  <c r="P81" i="25" s="1"/>
  <c r="V75" i="23"/>
  <c r="S75"/>
  <c r="H79" i="24" s="1"/>
  <c r="BI75" i="23"/>
  <c r="BF75"/>
  <c r="T79" i="24" s="1"/>
  <c r="H79" i="23"/>
  <c r="I80"/>
  <c r="H84" i="27" s="1"/>
  <c r="G80" i="23"/>
  <c r="G79" s="1"/>
  <c r="D83" i="25" s="1"/>
  <c r="AO55" i="23"/>
  <c r="AR55" s="1"/>
  <c r="AB80"/>
  <c r="AE80" s="1"/>
  <c r="AC82"/>
  <c r="AG77"/>
  <c r="L81" i="25" s="1"/>
  <c r="U78" i="23"/>
  <c r="H82" i="26" s="1"/>
  <c r="T78" i="23"/>
  <c r="BB80"/>
  <c r="BE80" s="1"/>
  <c r="BC82"/>
  <c r="BH78"/>
  <c r="BH77" s="1"/>
  <c r="AP82"/>
  <c r="AO80"/>
  <c r="AR80" s="1"/>
  <c r="BP82"/>
  <c r="BO80"/>
  <c r="BR80" s="1"/>
  <c r="F80"/>
  <c r="AH77"/>
  <c r="BG78"/>
  <c r="AE55"/>
  <c r="AB55"/>
  <c r="BV75"/>
  <c r="BS75"/>
  <c r="X79" i="24" s="1"/>
  <c r="BF78" i="23"/>
  <c r="T82" i="24" s="1"/>
  <c r="AI75" i="23"/>
  <c r="AF75"/>
  <c r="L79" i="24" s="1"/>
  <c r="AV75" i="23"/>
  <c r="AS75"/>
  <c r="P79" i="24" s="1"/>
  <c r="BF55" i="23"/>
  <c r="BE55"/>
  <c r="BG55" s="1"/>
  <c r="BB55"/>
  <c r="BO55"/>
  <c r="BR55" s="1"/>
  <c r="D54"/>
  <c r="D81"/>
  <c r="B82"/>
  <c r="E82" s="1"/>
  <c r="B55"/>
  <c r="E55" s="1"/>
  <c r="O80"/>
  <c r="R80" s="1"/>
  <c r="P82"/>
  <c r="O55"/>
  <c r="R55" s="1"/>
  <c r="AI52" l="1"/>
  <c r="D62" i="27"/>
  <c r="L62" s="1"/>
  <c r="J60" i="24"/>
  <c r="M61"/>
  <c r="Q61" i="25"/>
  <c r="Q62" s="1"/>
  <c r="N61" i="24"/>
  <c r="H62"/>
  <c r="M75" i="27"/>
  <c r="M76" s="1"/>
  <c r="M77" s="1"/>
  <c r="M78" s="1"/>
  <c r="I52" i="23"/>
  <c r="H61" i="27" s="1"/>
  <c r="I61" s="1"/>
  <c r="I62" s="1"/>
  <c r="V52" i="23"/>
  <c r="J61" i="24"/>
  <c r="J62" s="1"/>
  <c r="L62"/>
  <c r="N62" s="1"/>
  <c r="N75" i="27"/>
  <c r="N76" s="1"/>
  <c r="N77" s="1"/>
  <c r="N78" s="1"/>
  <c r="N79" s="1"/>
  <c r="N80" s="1"/>
  <c r="N81" s="1"/>
  <c r="I60" i="24"/>
  <c r="I61" s="1"/>
  <c r="I62" s="1"/>
  <c r="R61" i="25"/>
  <c r="R62" s="1"/>
  <c r="E61" i="24"/>
  <c r="H75" i="28"/>
  <c r="J75" s="1"/>
  <c r="J76" s="1"/>
  <c r="J77" s="1"/>
  <c r="J78" s="1"/>
  <c r="Y61" i="25"/>
  <c r="Y62" s="1"/>
  <c r="Z60" i="24"/>
  <c r="Z62" i="25"/>
  <c r="BV52" i="23"/>
  <c r="J61" i="26"/>
  <c r="J62" s="1"/>
  <c r="D62"/>
  <c r="L62" s="1"/>
  <c r="D62" i="28" s="1"/>
  <c r="L62" s="1"/>
  <c r="I61" i="26"/>
  <c r="I62" s="1"/>
  <c r="D62" i="24"/>
  <c r="F61"/>
  <c r="D61" i="26"/>
  <c r="L61" s="1"/>
  <c r="H61" i="29" s="1"/>
  <c r="J57"/>
  <c r="J58" s="1"/>
  <c r="J59" s="1"/>
  <c r="J60" s="1"/>
  <c r="I57"/>
  <c r="I58" s="1"/>
  <c r="I59" s="1"/>
  <c r="I60" s="1"/>
  <c r="M77" i="26"/>
  <c r="M78" s="1"/>
  <c r="D61" i="25"/>
  <c r="E61" s="1"/>
  <c r="D61" i="27"/>
  <c r="L61" s="1"/>
  <c r="F55" i="23"/>
  <c r="H55"/>
  <c r="H54" s="1"/>
  <c r="I55"/>
  <c r="G55"/>
  <c r="T55"/>
  <c r="T54" s="1"/>
  <c r="U55"/>
  <c r="U54" s="1"/>
  <c r="S55"/>
  <c r="V55"/>
  <c r="AU54"/>
  <c r="AU55"/>
  <c r="AT55"/>
  <c r="AV55"/>
  <c r="AS55"/>
  <c r="BU54"/>
  <c r="BU55"/>
  <c r="BS55"/>
  <c r="BV55"/>
  <c r="BT55"/>
  <c r="H62" i="25"/>
  <c r="T52" i="23"/>
  <c r="H61" i="25" s="1"/>
  <c r="AH54" i="23"/>
  <c r="G54"/>
  <c r="D62" i="25"/>
  <c r="T62" i="24"/>
  <c r="J59" i="27"/>
  <c r="J60" s="1"/>
  <c r="L59"/>
  <c r="L57" i="29"/>
  <c r="AT54" i="23"/>
  <c r="BF54"/>
  <c r="AH55"/>
  <c r="BH55"/>
  <c r="AG55"/>
  <c r="L60" i="29"/>
  <c r="Y61" i="24"/>
  <c r="Y62" s="1"/>
  <c r="BG54" i="23"/>
  <c r="BF52"/>
  <c r="T61" i="24" s="1"/>
  <c r="U61" s="1"/>
  <c r="V59" i="25"/>
  <c r="V60" s="1"/>
  <c r="U59"/>
  <c r="U60" s="1"/>
  <c r="AG54" i="23"/>
  <c r="AI55"/>
  <c r="Z61" i="24"/>
  <c r="Z62" s="1"/>
  <c r="BG52" i="23"/>
  <c r="T61" i="25" s="1"/>
  <c r="AG52" i="23"/>
  <c r="L61" i="25" s="1"/>
  <c r="H55" i="28"/>
  <c r="I55" s="1"/>
  <c r="I56" s="1"/>
  <c r="I57" s="1"/>
  <c r="I58" s="1"/>
  <c r="D55" i="29"/>
  <c r="L55" s="1"/>
  <c r="M55" s="1"/>
  <c r="M56" s="1"/>
  <c r="BH54" i="23"/>
  <c r="BI55"/>
  <c r="BI54" s="1"/>
  <c r="AF55"/>
  <c r="BT54"/>
  <c r="N55" i="27"/>
  <c r="N56" s="1"/>
  <c r="N57" s="1"/>
  <c r="N58" s="1"/>
  <c r="N81" i="25"/>
  <c r="N82" s="1"/>
  <c r="H80" i="29"/>
  <c r="I79" i="25"/>
  <c r="I80" s="1"/>
  <c r="J79"/>
  <c r="J80" s="1"/>
  <c r="E79" i="24"/>
  <c r="E80" s="1"/>
  <c r="E81" s="1"/>
  <c r="E82" s="1"/>
  <c r="F81" i="25"/>
  <c r="F82" s="1"/>
  <c r="F83" s="1"/>
  <c r="M79" i="27"/>
  <c r="M80" s="1"/>
  <c r="M81" s="1"/>
  <c r="E81" i="25"/>
  <c r="E82" s="1"/>
  <c r="E83" s="1"/>
  <c r="F82" i="23"/>
  <c r="G82"/>
  <c r="I82"/>
  <c r="H82"/>
  <c r="H81" s="1"/>
  <c r="F81"/>
  <c r="D81" i="29"/>
  <c r="H81" i="28"/>
  <c r="D83" i="27"/>
  <c r="L77" i="29"/>
  <c r="AS77" i="23"/>
  <c r="P81" i="24" s="1"/>
  <c r="L78" i="29"/>
  <c r="V79" i="25"/>
  <c r="V80" s="1"/>
  <c r="T82"/>
  <c r="BG77" i="23"/>
  <c r="T81" i="25" s="1"/>
  <c r="G81" i="23"/>
  <c r="H79" i="28"/>
  <c r="D79" i="29"/>
  <c r="BT77" i="23"/>
  <c r="X81" i="25" s="1"/>
  <c r="Z81" s="1"/>
  <c r="Z82" s="1"/>
  <c r="L78" i="28"/>
  <c r="L79" i="26"/>
  <c r="L82" i="27"/>
  <c r="H82" i="28" s="1"/>
  <c r="U79" i="25"/>
  <c r="U80" s="1"/>
  <c r="I81" i="27"/>
  <c r="I82" s="1"/>
  <c r="E79" i="26"/>
  <c r="E80" s="1"/>
  <c r="E81" s="1"/>
  <c r="E82" s="1"/>
  <c r="Q82" i="23"/>
  <c r="Q81"/>
  <c r="AQ82"/>
  <c r="AQ81"/>
  <c r="AD81"/>
  <c r="AD82"/>
  <c r="BQ82"/>
  <c r="BQ81"/>
  <c r="BD81"/>
  <c r="BD82"/>
  <c r="F82" i="27"/>
  <c r="F79" i="26"/>
  <c r="F80" s="1"/>
  <c r="F81" s="1"/>
  <c r="F82" s="1"/>
  <c r="E60" i="28"/>
  <c r="F60"/>
  <c r="E82" i="27"/>
  <c r="Q80" i="25"/>
  <c r="Q81" s="1"/>
  <c r="Q82" s="1"/>
  <c r="R62" i="24"/>
  <c r="Q62"/>
  <c r="D84" i="26"/>
  <c r="D84" i="24"/>
  <c r="J79" i="26"/>
  <c r="J80" s="1"/>
  <c r="U79" i="24"/>
  <c r="U80" s="1"/>
  <c r="M81" i="25"/>
  <c r="M82" s="1"/>
  <c r="J79" i="24"/>
  <c r="J80" s="1"/>
  <c r="Q79"/>
  <c r="Q80" s="1"/>
  <c r="H62" i="28"/>
  <c r="D62" i="29"/>
  <c r="L62" s="1"/>
  <c r="I79" i="24"/>
  <c r="I80" s="1"/>
  <c r="M73" i="28"/>
  <c r="M74" s="1"/>
  <c r="N73"/>
  <c r="N74" s="1"/>
  <c r="Z79" i="24"/>
  <c r="Z80" s="1"/>
  <c r="D61" i="29"/>
  <c r="L61" s="1"/>
  <c r="T77" i="23"/>
  <c r="H81" i="25" s="1"/>
  <c r="H82"/>
  <c r="D84"/>
  <c r="D84" i="27"/>
  <c r="L84" s="1"/>
  <c r="BV77" i="23"/>
  <c r="X82" i="24"/>
  <c r="M79"/>
  <c r="M80" s="1"/>
  <c r="D77" i="28"/>
  <c r="H77" i="29"/>
  <c r="N77" i="26"/>
  <c r="N78" s="1"/>
  <c r="F79" i="24"/>
  <c r="F80" s="1"/>
  <c r="F81" s="1"/>
  <c r="F82" s="1"/>
  <c r="F75" i="28"/>
  <c r="F76" s="1"/>
  <c r="E75"/>
  <c r="E76" s="1"/>
  <c r="Y79" i="24"/>
  <c r="Y80" s="1"/>
  <c r="R79" i="25"/>
  <c r="R80" s="1"/>
  <c r="R81" s="1"/>
  <c r="R82" s="1"/>
  <c r="U77" i="23"/>
  <c r="L82" i="26"/>
  <c r="N79" i="24"/>
  <c r="N80" s="1"/>
  <c r="N73" i="29"/>
  <c r="N74" s="1"/>
  <c r="M73"/>
  <c r="M74" s="1"/>
  <c r="J81" i="27"/>
  <c r="J82" s="1"/>
  <c r="I79" i="26"/>
  <c r="I80" s="1"/>
  <c r="V79" i="24"/>
  <c r="V80" s="1"/>
  <c r="L75" i="29"/>
  <c r="E75"/>
  <c r="E76" s="1"/>
  <c r="E77" s="1"/>
  <c r="E78" s="1"/>
  <c r="F75"/>
  <c r="F76" s="1"/>
  <c r="F77" s="1"/>
  <c r="F78" s="1"/>
  <c r="J75"/>
  <c r="J76" s="1"/>
  <c r="I75"/>
  <c r="I76" s="1"/>
  <c r="R79" i="24"/>
  <c r="R80" s="1"/>
  <c r="BF80" i="23"/>
  <c r="BF79" s="1"/>
  <c r="T83" i="24" s="1"/>
  <c r="BI80" i="23"/>
  <c r="BG80"/>
  <c r="T84" i="25" s="1"/>
  <c r="BH80" i="23"/>
  <c r="BH79" s="1"/>
  <c r="AU79"/>
  <c r="AU80"/>
  <c r="AS80"/>
  <c r="P84" i="24" s="1"/>
  <c r="AT80" i="23"/>
  <c r="P84" i="25" s="1"/>
  <c r="AV80" i="23"/>
  <c r="U80"/>
  <c r="H84" i="26" s="1"/>
  <c r="S80" i="23"/>
  <c r="H84" i="24" s="1"/>
  <c r="T80" i="23"/>
  <c r="H84" i="25" s="1"/>
  <c r="V80" i="23"/>
  <c r="BS80"/>
  <c r="X84" i="24" s="1"/>
  <c r="BT80" i="23"/>
  <c r="X84" i="25" s="1"/>
  <c r="BV80" i="23"/>
  <c r="BU80"/>
  <c r="BU79" s="1"/>
  <c r="AF80"/>
  <c r="L84" i="24" s="1"/>
  <c r="AI80" i="23"/>
  <c r="AG80"/>
  <c r="L84" i="25" s="1"/>
  <c r="AH80" i="23"/>
  <c r="AH79" s="1"/>
  <c r="AT79"/>
  <c r="P83" i="25" s="1"/>
  <c r="AG79" i="23"/>
  <c r="L83" i="25" s="1"/>
  <c r="AV77" i="23"/>
  <c r="AO82"/>
  <c r="AR82" s="1"/>
  <c r="AI77"/>
  <c r="AF77"/>
  <c r="L81" i="24" s="1"/>
  <c r="BS77" i="23"/>
  <c r="X81" i="24" s="1"/>
  <c r="T79" i="23"/>
  <c r="H83" i="25" s="1"/>
  <c r="I79" i="23"/>
  <c r="H83" i="27" s="1"/>
  <c r="F79" i="23"/>
  <c r="BB82"/>
  <c r="BE82" s="1"/>
  <c r="V77"/>
  <c r="S77"/>
  <c r="H81" i="24" s="1"/>
  <c r="BI77" i="23"/>
  <c r="BF77"/>
  <c r="T81" i="24" s="1"/>
  <c r="BT79" i="23"/>
  <c r="X83" i="25" s="1"/>
  <c r="BO82" i="23"/>
  <c r="BR82" s="1"/>
  <c r="AB82"/>
  <c r="AE82" s="1"/>
  <c r="R82"/>
  <c r="T82" s="1"/>
  <c r="O82"/>
  <c r="I75" i="28" l="1"/>
  <c r="I76" s="1"/>
  <c r="I77" s="1"/>
  <c r="I78" s="1"/>
  <c r="I79" s="1"/>
  <c r="I80" s="1"/>
  <c r="I81" s="1"/>
  <c r="I82" s="1"/>
  <c r="L75"/>
  <c r="N75" s="1"/>
  <c r="N76" s="1"/>
  <c r="J61" i="27"/>
  <c r="J62" s="1"/>
  <c r="H62" i="29"/>
  <c r="M62" i="24"/>
  <c r="L81" i="26"/>
  <c r="D81" i="28" s="1"/>
  <c r="L81" s="1"/>
  <c r="H81" i="26"/>
  <c r="J81" s="1"/>
  <c r="J82" s="1"/>
  <c r="F61" i="27"/>
  <c r="F62" s="1"/>
  <c r="E62" i="24"/>
  <c r="A45" s="1"/>
  <c r="Y81" i="25"/>
  <c r="Y82" s="1"/>
  <c r="Y83" s="1"/>
  <c r="Y84" s="1"/>
  <c r="U62" i="24"/>
  <c r="M79" i="26"/>
  <c r="M80" s="1"/>
  <c r="M81" s="1"/>
  <c r="M82" s="1"/>
  <c r="N55" i="29"/>
  <c r="N56" s="1"/>
  <c r="N57" s="1"/>
  <c r="N58" s="1"/>
  <c r="E61" i="26"/>
  <c r="E62" s="1"/>
  <c r="J61" i="29"/>
  <c r="H61" i="28"/>
  <c r="I61" i="29"/>
  <c r="N61" i="26"/>
  <c r="N62" s="1"/>
  <c r="D61" i="28"/>
  <c r="L61" s="1"/>
  <c r="F62" i="24"/>
  <c r="F61" i="26"/>
  <c r="F62" s="1"/>
  <c r="M61"/>
  <c r="M62" s="1"/>
  <c r="A45" s="1"/>
  <c r="M57" i="29"/>
  <c r="M58" s="1"/>
  <c r="E62" i="25"/>
  <c r="A45" s="1"/>
  <c r="V54" i="23"/>
  <c r="S54"/>
  <c r="F61" i="25"/>
  <c r="F62" s="1"/>
  <c r="V61" i="24"/>
  <c r="V62" s="1"/>
  <c r="B42" s="1"/>
  <c r="B43" s="1"/>
  <c r="E55" i="29"/>
  <c r="E56" s="1"/>
  <c r="E57" s="1"/>
  <c r="E58" s="1"/>
  <c r="F55"/>
  <c r="F56" s="1"/>
  <c r="F57" s="1"/>
  <c r="F58" s="1"/>
  <c r="J55" i="28"/>
  <c r="J56" s="1"/>
  <c r="J57" s="1"/>
  <c r="J58" s="1"/>
  <c r="L55"/>
  <c r="I54" i="23"/>
  <c r="F54"/>
  <c r="AV54"/>
  <c r="AS54"/>
  <c r="BV54"/>
  <c r="BS54"/>
  <c r="AI54"/>
  <c r="AF54"/>
  <c r="V61" i="25"/>
  <c r="V62" s="1"/>
  <c r="U61"/>
  <c r="U62" s="1"/>
  <c r="E61" i="27"/>
  <c r="E62" s="1"/>
  <c r="M61" i="25"/>
  <c r="M62" s="1"/>
  <c r="N61"/>
  <c r="N62" s="1"/>
  <c r="D59" i="29"/>
  <c r="H59" i="28"/>
  <c r="M59" i="27"/>
  <c r="M60" s="1"/>
  <c r="M61" s="1"/>
  <c r="M62" s="1"/>
  <c r="A45" s="1"/>
  <c r="N59"/>
  <c r="N60" s="1"/>
  <c r="N61" s="1"/>
  <c r="J61" i="25"/>
  <c r="J62" s="1"/>
  <c r="I61"/>
  <c r="I62" s="1"/>
  <c r="N83"/>
  <c r="N84" s="1"/>
  <c r="I81"/>
  <c r="I82" s="1"/>
  <c r="I83" s="1"/>
  <c r="I84" s="1"/>
  <c r="U81"/>
  <c r="U82" s="1"/>
  <c r="Q81" i="24"/>
  <c r="Q82" s="1"/>
  <c r="D82" i="29"/>
  <c r="V81" i="25"/>
  <c r="V82" s="1"/>
  <c r="R81" i="24"/>
  <c r="R82" s="1"/>
  <c r="J79" i="28"/>
  <c r="J80" s="1"/>
  <c r="J81" s="1"/>
  <c r="J82" s="1"/>
  <c r="H79" i="29"/>
  <c r="D79" i="28"/>
  <c r="L79" s="1"/>
  <c r="N79" i="26"/>
  <c r="N80" s="1"/>
  <c r="F79" i="29"/>
  <c r="F80" s="1"/>
  <c r="F81" s="1"/>
  <c r="F83" i="27"/>
  <c r="F84" s="1"/>
  <c r="E79" i="29"/>
  <c r="E80" s="1"/>
  <c r="E81" s="1"/>
  <c r="E83" i="27"/>
  <c r="E84" s="1"/>
  <c r="AT82" i="23"/>
  <c r="AV82"/>
  <c r="AS82"/>
  <c r="AV81" s="1"/>
  <c r="AU82"/>
  <c r="AU81" s="1"/>
  <c r="BV82"/>
  <c r="BS82"/>
  <c r="BT82"/>
  <c r="BU82"/>
  <c r="BU81" s="1"/>
  <c r="BG82"/>
  <c r="BI82"/>
  <c r="BF82"/>
  <c r="BI81" s="1"/>
  <c r="BH82"/>
  <c r="BH81" s="1"/>
  <c r="AG82"/>
  <c r="AI82"/>
  <c r="AF82"/>
  <c r="AH82"/>
  <c r="AH81" s="1"/>
  <c r="S82"/>
  <c r="V82"/>
  <c r="M82" i="27"/>
  <c r="AT81" i="23"/>
  <c r="L79" i="29"/>
  <c r="BG79" i="23"/>
  <c r="T83" i="25" s="1"/>
  <c r="H82" i="29"/>
  <c r="D82" i="28"/>
  <c r="L82" s="1"/>
  <c r="N82" i="27"/>
  <c r="BT81" i="23"/>
  <c r="AG81"/>
  <c r="I81"/>
  <c r="L84" i="26"/>
  <c r="H84" i="29" s="1"/>
  <c r="U82" i="23"/>
  <c r="U81" s="1"/>
  <c r="S79"/>
  <c r="H83" i="24" s="1"/>
  <c r="BG81" i="23"/>
  <c r="T81"/>
  <c r="L83" i="27"/>
  <c r="I83"/>
  <c r="I84" s="1"/>
  <c r="E84" i="25"/>
  <c r="J83" i="27"/>
  <c r="J84" s="1"/>
  <c r="I81" i="24"/>
  <c r="I82" s="1"/>
  <c r="Q83" i="25"/>
  <c r="Q84" s="1"/>
  <c r="Y81" i="24"/>
  <c r="Y82" s="1"/>
  <c r="J81" i="25"/>
  <c r="J82" s="1"/>
  <c r="J83" s="1"/>
  <c r="J84" s="1"/>
  <c r="J81" i="24"/>
  <c r="J82" s="1"/>
  <c r="N81"/>
  <c r="N82" s="1"/>
  <c r="R83" i="25"/>
  <c r="R84" s="1"/>
  <c r="M75" i="28"/>
  <c r="M76" s="1"/>
  <c r="Z83" i="25"/>
  <c r="Z84" s="1"/>
  <c r="M81" i="24"/>
  <c r="M82" s="1"/>
  <c r="H84" i="28"/>
  <c r="D84" i="29"/>
  <c r="F84" i="25"/>
  <c r="B66" s="1"/>
  <c r="BI79" i="23"/>
  <c r="T84" i="24"/>
  <c r="J77" i="29"/>
  <c r="J78" s="1"/>
  <c r="I77"/>
  <c r="I78" s="1"/>
  <c r="U79" i="23"/>
  <c r="H83" i="26" s="1"/>
  <c r="N75" i="29"/>
  <c r="N76" s="1"/>
  <c r="N77" s="1"/>
  <c r="N78" s="1"/>
  <c r="M75"/>
  <c r="M76" s="1"/>
  <c r="M77" s="1"/>
  <c r="M78" s="1"/>
  <c r="D83" i="26"/>
  <c r="D83" i="24"/>
  <c r="F83" s="1"/>
  <c r="F84" s="1"/>
  <c r="B66" s="1"/>
  <c r="V81"/>
  <c r="V82" s="1"/>
  <c r="V83" s="1"/>
  <c r="L77" i="28"/>
  <c r="E77"/>
  <c r="E78" s="1"/>
  <c r="F77"/>
  <c r="F78" s="1"/>
  <c r="Z81" i="24"/>
  <c r="Z82" s="1"/>
  <c r="M83" i="25"/>
  <c r="M84" s="1"/>
  <c r="U81" i="24"/>
  <c r="U82" s="1"/>
  <c r="U83" s="1"/>
  <c r="AV79" i="23"/>
  <c r="AS79"/>
  <c r="P83" i="24" s="1"/>
  <c r="AI79" i="23"/>
  <c r="AF79"/>
  <c r="L83" i="24" s="1"/>
  <c r="BV79" i="23"/>
  <c r="BS79"/>
  <c r="X83" i="24" s="1"/>
  <c r="V79" i="23"/>
  <c r="I81" i="26" l="1"/>
  <c r="I82" s="1"/>
  <c r="I83" s="1"/>
  <c r="I84" s="1"/>
  <c r="H81" i="29"/>
  <c r="L81" s="1"/>
  <c r="I62"/>
  <c r="N81" i="26"/>
  <c r="N82" s="1"/>
  <c r="J62" i="29"/>
  <c r="E61" i="28"/>
  <c r="E62" s="1"/>
  <c r="F61"/>
  <c r="F62" s="1"/>
  <c r="N62" i="27"/>
  <c r="B45" s="1"/>
  <c r="B44" s="1"/>
  <c r="N77" i="28"/>
  <c r="N78" s="1"/>
  <c r="N79" s="1"/>
  <c r="N80" s="1"/>
  <c r="N81" s="1"/>
  <c r="N82" s="1"/>
  <c r="B45" i="24"/>
  <c r="B44" s="1"/>
  <c r="B45" i="26"/>
  <c r="B44" s="1"/>
  <c r="B42"/>
  <c r="B43" s="1"/>
  <c r="B45" i="25"/>
  <c r="B44" s="1"/>
  <c r="L59" i="28"/>
  <c r="J59"/>
  <c r="J60" s="1"/>
  <c r="J61" s="1"/>
  <c r="J62" s="1"/>
  <c r="I59"/>
  <c r="I60" s="1"/>
  <c r="I61" s="1"/>
  <c r="I62" s="1"/>
  <c r="D84"/>
  <c r="L84" s="1"/>
  <c r="B42" i="25"/>
  <c r="B43" s="1"/>
  <c r="M55" i="28"/>
  <c r="M56" s="1"/>
  <c r="M57" s="1"/>
  <c r="M58" s="1"/>
  <c r="N55"/>
  <c r="N56" s="1"/>
  <c r="N57" s="1"/>
  <c r="N58" s="1"/>
  <c r="L59" i="29"/>
  <c r="E59"/>
  <c r="E60" s="1"/>
  <c r="E61" s="1"/>
  <c r="E62" s="1"/>
  <c r="F59"/>
  <c r="F60" s="1"/>
  <c r="F61" s="1"/>
  <c r="F62" s="1"/>
  <c r="L82"/>
  <c r="F82"/>
  <c r="E82"/>
  <c r="V83" i="25"/>
  <c r="V84" s="1"/>
  <c r="R83" i="24"/>
  <c r="R84" s="1"/>
  <c r="J83"/>
  <c r="J84" s="1"/>
  <c r="J79" i="29"/>
  <c r="J80" s="1"/>
  <c r="I79"/>
  <c r="I80" s="1"/>
  <c r="E79" i="28"/>
  <c r="E80" s="1"/>
  <c r="E81" s="1"/>
  <c r="E82" s="1"/>
  <c r="F79"/>
  <c r="F80" s="1"/>
  <c r="F81" s="1"/>
  <c r="F82" s="1"/>
  <c r="V84" i="24"/>
  <c r="I83"/>
  <c r="I84" s="1"/>
  <c r="M79" i="29"/>
  <c r="M80" s="1"/>
  <c r="N79"/>
  <c r="N80" s="1"/>
  <c r="N83" i="27"/>
  <c r="N84" s="1"/>
  <c r="B66" s="1"/>
  <c r="V81" i="23"/>
  <c r="S81"/>
  <c r="H83" i="28"/>
  <c r="I83" s="1"/>
  <c r="I84" s="1"/>
  <c r="D83" i="29"/>
  <c r="M83" i="27"/>
  <c r="M84" s="1"/>
  <c r="A66" s="1"/>
  <c r="A65" s="1"/>
  <c r="AS81" i="23"/>
  <c r="U83" i="25"/>
  <c r="U84" s="1"/>
  <c r="BF81" i="23"/>
  <c r="BV81"/>
  <c r="BS81"/>
  <c r="L84" i="29"/>
  <c r="AI81" i="23"/>
  <c r="AF81"/>
  <c r="U84" i="24"/>
  <c r="Q83"/>
  <c r="Q84" s="1"/>
  <c r="N83"/>
  <c r="N84" s="1"/>
  <c r="Z83"/>
  <c r="Z84" s="1"/>
  <c r="L83" i="26"/>
  <c r="E83"/>
  <c r="E84" s="1"/>
  <c r="F83"/>
  <c r="F84" s="1"/>
  <c r="E83" i="24"/>
  <c r="E84" s="1"/>
  <c r="Y83"/>
  <c r="Y84" s="1"/>
  <c r="J83" i="26"/>
  <c r="J84" s="1"/>
  <c r="M83" i="24"/>
  <c r="M84" s="1"/>
  <c r="M77" i="28"/>
  <c r="M78" s="1"/>
  <c r="M79" s="1"/>
  <c r="M80" s="1"/>
  <c r="M81" s="1"/>
  <c r="M82" s="1"/>
  <c r="M81" i="29" l="1"/>
  <c r="M82" s="1"/>
  <c r="J81"/>
  <c r="J82" s="1"/>
  <c r="N81"/>
  <c r="N82" s="1"/>
  <c r="I81"/>
  <c r="I82" s="1"/>
  <c r="B42" i="27"/>
  <c r="B43" s="1"/>
  <c r="N59" i="28"/>
  <c r="N60" s="1"/>
  <c r="N61" s="1"/>
  <c r="N62" s="1"/>
  <c r="M59"/>
  <c r="M60" s="1"/>
  <c r="M61" s="1"/>
  <c r="M62" s="1"/>
  <c r="A45" s="1"/>
  <c r="E83" i="29"/>
  <c r="E84" s="1"/>
  <c r="M59"/>
  <c r="M60" s="1"/>
  <c r="M61" s="1"/>
  <c r="M62" s="1"/>
  <c r="A45" s="1"/>
  <c r="N59"/>
  <c r="N60" s="1"/>
  <c r="N61" s="1"/>
  <c r="N62" s="1"/>
  <c r="A63" i="25"/>
  <c r="A64" s="1"/>
  <c r="A66"/>
  <c r="A65" s="1"/>
  <c r="F83" i="29"/>
  <c r="F84" s="1"/>
  <c r="A63" i="27"/>
  <c r="A64" s="1"/>
  <c r="J83" i="28"/>
  <c r="J84" s="1"/>
  <c r="H83" i="29"/>
  <c r="L83" s="1"/>
  <c r="D83" i="28"/>
  <c r="M83" i="26"/>
  <c r="M84" s="1"/>
  <c r="N83"/>
  <c r="N84" s="1"/>
  <c r="B66" s="1"/>
  <c r="A66" i="24"/>
  <c r="A65" s="1"/>
  <c r="A63"/>
  <c r="A64" s="1"/>
  <c r="B42" i="28" l="1"/>
  <c r="B43" s="1"/>
  <c r="B45"/>
  <c r="B44" s="1"/>
  <c r="B42" i="29"/>
  <c r="B43" s="1"/>
  <c r="B45"/>
  <c r="B44" s="1"/>
  <c r="N83"/>
  <c r="N84" s="1"/>
  <c r="B66" s="1"/>
  <c r="M83"/>
  <c r="M84" s="1"/>
  <c r="L83" i="28"/>
  <c r="F83"/>
  <c r="F84" s="1"/>
  <c r="E83"/>
  <c r="E84" s="1"/>
  <c r="A63" i="26"/>
  <c r="A64" s="1"/>
  <c r="A66"/>
  <c r="A65" s="1"/>
  <c r="I83" i="29"/>
  <c r="J83"/>
  <c r="J84" s="1"/>
  <c r="I84" l="1"/>
  <c r="A66" s="1"/>
  <c r="A65" s="1"/>
  <c r="N83" i="28"/>
  <c r="N84" s="1"/>
  <c r="B66" s="1"/>
  <c r="M83"/>
  <c r="M84" s="1"/>
  <c r="A63" i="29" l="1"/>
  <c r="A64" s="1"/>
  <c r="A66" i="28"/>
  <c r="A65" s="1"/>
  <c r="A63"/>
  <c r="A64" s="1"/>
</calcChain>
</file>

<file path=xl/sharedStrings.xml><?xml version="1.0" encoding="utf-8"?>
<sst xmlns="http://schemas.openxmlformats.org/spreadsheetml/2006/main" count="1222" uniqueCount="148">
  <si>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</si>
  <si>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</si>
  <si>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</si>
  <si>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</si>
  <si>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</si>
  <si>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</si>
  <si>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</si>
  <si>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</si>
  <si>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</si>
  <si>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</si>
  <si>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</si>
  <si>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</si>
  <si>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</si>
  <si>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</si>
  <si>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</rPr>
      <t>x</t>
    </r>
  </si>
  <si>
    <r>
      <t>D</t>
    </r>
    <r>
      <rPr>
        <sz val="10"/>
        <rFont val="Arial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</si>
  <si>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</si>
  <si>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</si>
  <si>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</si>
  <si>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</si>
  <si>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</si>
  <si>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</si>
  <si>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</si>
  <si>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</si>
  <si>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</si>
  <si>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</si>
  <si>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</si>
  <si>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</si>
  <si>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</si>
  <si>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</si>
  <si>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</si>
  <si>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</si>
  <si>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</si>
  <si>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</si>
  <si>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</si>
  <si>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</si>
  <si>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</si>
  <si>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</si>
  <si>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</si>
  <si>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</si>
  <si>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</si>
  <si>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</si>
  <si>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</si>
  <si>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</si>
  <si>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</si>
  <si>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</si>
  <si>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</si>
  <si>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</si>
  <si>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</si>
  <si>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</si>
  <si>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</si>
  <si>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</si>
  <si>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</si>
  <si>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</si>
  <si>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</si>
  <si>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</si>
  <si>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</si>
  <si>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</si>
  <si>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</si>
  <si>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</si>
  <si>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</si>
  <si>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</si>
  <si>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</si>
  <si>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1.  Aprire in Excel il file .SPI dividendo i campi in colonne di 12 caratteri</t>
  </si>
  <si>
    <t>2.  Ricopiare i valori nel foglio di calcolo SPI</t>
  </si>
  <si>
    <t>Dati da fornire:</t>
  </si>
  <si>
    <t>numero di punti del contorno (max 12)</t>
  </si>
  <si>
    <t>coordinate dei punti del contorno (stesso riferimento usato in Tel)</t>
  </si>
  <si>
    <t>Occorre preliminarmente aver risolto lo schema strutturale con il programma Tel</t>
  </si>
  <si>
    <t>Si consiglia di modificare gli estremi degli assi x e y, in modo da avere una stessa rappresentazione per tutti i modi</t>
  </si>
  <si>
    <t>Note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</si>
  <si>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</si>
  <si>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</si>
  <si>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</si>
  <si>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</si>
  <si>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</si>
  <si>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</si>
  <si>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</si>
  <si>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</si>
  <si>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</si>
  <si>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</si>
  <si>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</si>
  <si>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</si>
  <si>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CondCar  5</t>
  </si>
  <si>
    <t>CondCar  6</t>
  </si>
  <si>
    <t>Traverso</t>
  </si>
  <si>
    <t>n. totale telai</t>
  </si>
  <si>
    <t>Le analisi modali x e y devono essere la condizione di carico 3 e 4. Quelle con coppie la 5 e 6.</t>
  </si>
  <si>
    <t>Occorre aver salvato i dati per Excel. Esiste quindi un file .SPI ed un file .SPO</t>
  </si>
  <si>
    <t>3.  Ripetere l'operazione per il file SPO</t>
  </si>
  <si>
    <t>4.  Inserire i dati nel foglio di calcolo Dati, nelle caselle a sfondo giallo chiaro</t>
  </si>
  <si>
    <t>1.  I fogli sono protetti (tranne SPI e SPO), per evitare immissione erronea di dati, ma senza password</t>
  </si>
  <si>
    <t>I telai devono essere numerati progressivamente e ordinatamente, prima quelli in x poi quelli in y, ed estendersi tutti fino all'ultimo piano</t>
  </si>
  <si>
    <t>CC 6</t>
  </si>
  <si>
    <t>Spo</t>
  </si>
  <si>
    <t>in direzione x</t>
  </si>
  <si>
    <t>in direzione y</t>
  </si>
  <si>
    <t>yC</t>
  </si>
  <si>
    <t>xC</t>
  </si>
  <si>
    <t>Telai in direzione x</t>
  </si>
  <si>
    <t>Telai in direzione y</t>
  </si>
  <si>
    <t>Fx</t>
  </si>
  <si>
    <t>Fy</t>
  </si>
  <si>
    <t>M(Fx)</t>
  </si>
  <si>
    <t>M(Fy)</t>
  </si>
  <si>
    <t>telaio</t>
  </si>
  <si>
    <t>12 telai x</t>
  </si>
  <si>
    <t>12 telai y</t>
  </si>
  <si>
    <t>20 telai</t>
  </si>
  <si>
    <t>ultimo piano</t>
  </si>
  <si>
    <t>Sisma x</t>
  </si>
  <si>
    <t>base per ux</t>
  </si>
  <si>
    <t>ux</t>
  </si>
  <si>
    <t>base per uy</t>
  </si>
  <si>
    <t>uy</t>
  </si>
  <si>
    <t>Sisma y</t>
  </si>
  <si>
    <t>Fx+M(Fx)</t>
  </si>
  <si>
    <t>letto nel file SPI</t>
  </si>
  <si>
    <t>n telai</t>
  </si>
  <si>
    <t>letto nel file SPO</t>
  </si>
  <si>
    <t>Posizione dei telai in direzione x</t>
  </si>
  <si>
    <t>stima da SPO</t>
  </si>
  <si>
    <t>Deformate</t>
  </si>
  <si>
    <t>posizione dei telai (come data in Tel)</t>
  </si>
  <si>
    <t>5.  Visualizzazione deformate modali (foglio Modi)</t>
  </si>
  <si>
    <t>Indicare il modo che si vuole visualizzare e l'eventuale moltiplicatore</t>
  </si>
  <si>
    <t>6.  Visualizzazione inviluppo modale (fogli Invil.mod.x e Invil.mod.y)</t>
  </si>
  <si>
    <t>7.  Visualizzazione effetto forze più coppie (fogli Fx+M(Fx) e Fy+M(Fy) )</t>
  </si>
  <si>
    <t>8.  Visualizzazione effetto contemporaneità sisma x e y (fogli Prev.x e Prev.y)</t>
  </si>
  <si>
    <t>2.  Se necessario, stirare l'immagine o modificare gli estremi degli assi in modo da rendere la scala x uguale alla scala y (altrimenti la figura è distorta)</t>
  </si>
  <si>
    <t>Per effettuare queste modifiche occorre rimuovere la protezione del foglio</t>
  </si>
  <si>
    <t xml:space="preserve">telai in direzione x </t>
  </si>
  <si>
    <t xml:space="preserve">telai in direzione y </t>
  </si>
  <si>
    <t>dedotto dal file SPO:</t>
  </si>
  <si>
    <t>questa parte è usata per stimare n.telai e coordinate</t>
  </si>
  <si>
    <r>
      <rPr>
        <b/>
        <sz val="10"/>
        <rFont val="Arial"/>
        <family val="2"/>
      </rPr>
      <t>Dimensione crocetta</t>
    </r>
    <r>
      <rPr>
        <sz val="10"/>
        <rFont val="Arial"/>
        <family val="2"/>
      </rPr>
      <t xml:space="preserve"> </t>
    </r>
  </si>
  <si>
    <t xml:space="preserve">  (rispetto a dimensione max)</t>
  </si>
  <si>
    <t xml:space="preserve">distanza grafici  </t>
  </si>
  <si>
    <t>assegnati in Inv.mod.x</t>
  </si>
  <si>
    <t>x + 0.3 y</t>
  </si>
  <si>
    <t>0.3 y</t>
  </si>
  <si>
    <t>0.3 x</t>
  </si>
  <si>
    <t>y + 0.3 x</t>
  </si>
  <si>
    <t>numero di telai in direzione x (max 12)</t>
  </si>
  <si>
    <t>dimensione della crocetta (rispetto alla dimensinoe massima dell'edificio)</t>
  </si>
  <si>
    <t>versione 1.1</t>
  </si>
  <si>
    <t>3.  Il foglio Telai è per ora dimensionato per max 6 piani. Di conseguenza i fogli Inv.mod.x e Inv.mod.y mostrano al massimo i 6 piani superiori</t>
  </si>
  <si>
    <t>Se necessario, modificare il moltiplicatore della deformata e /o la distanza dei grafici dallo schema di pianta nel foglio Invil.mod.x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</si>
</sst>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8" fillId="2" borderId="0" xfId="0" applyFont="1" applyFill="1" applyAlignment="1" applyProtection="1">
      <alignment horizontal="center"/>
      <protection locked="0"/>
    </xf>
    <xf numFmtId="2" fontId="8" fillId="2" borderId="0" xfId="0" applyNumberFormat="1" applyFont="1" applyFill="1" applyAlignment="1" applyProtection="1">
      <alignment horizontal="center"/>
      <protection locked="0"/>
    </xf>
    <xf numFmtId="11" fontId="7" fillId="0" borderId="0" xfId="0" applyNumberFormat="1" applyFont="1" applyBorder="1" applyAlignment="1">
      <alignment horizontal="center"/>
    </xf>
    <xf numFmtId="11" fontId="7" fillId="0" borderId="1" xfId="0" applyNumberFormat="1" applyFont="1" applyBorder="1" applyAlignment="1">
      <alignment horizontal="center"/>
    </xf>
    <xf numFmtId="10" fontId="7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0" fontId="5" fillId="3" borderId="0" xfId="0" applyNumberFormat="1" applyFont="1" applyFill="1" applyAlignment="1">
      <alignment horizontal="center"/>
    </xf>
    <xf numFmtId="0" fontId="4" fillId="0" borderId="0" xfId="0" applyFont="1"/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2" fontId="8" fillId="0" borderId="0" xfId="0" applyNumberFormat="1" applyFont="1"/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5" fillId="0" borderId="0" xfId="0" applyFont="1"/>
    <xf numFmtId="0" fontId="0" fillId="0" borderId="0" xfId="0" applyFill="1" applyAlignment="1">
      <alignment horizontal="center"/>
    </xf>
    <xf numFmtId="0" fontId="8" fillId="0" borderId="0" xfId="0" applyFont="1"/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2" fontId="4" fillId="0" borderId="0" xfId="0" applyNumberFormat="1" applyFont="1" applyFill="1" applyAlignment="1" applyProtection="1">
      <alignment horizontal="center"/>
    </xf>
    <xf numFmtId="0" fontId="4" fillId="0" borderId="0" xfId="0" applyFont="1" applyFill="1" applyAlignment="1">
      <alignment horizontal="center"/>
    </xf>
    <xf numFmtId="17" fontId="6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 applyAlignment="1" applyProtection="1">
      <alignment horizontal="center"/>
    </xf>
    <xf numFmtId="0" fontId="1" fillId="0" borderId="0" xfId="1" applyFont="1" applyAlignment="1">
      <alignment horizontal="center"/>
    </xf>
    <xf numFmtId="164" fontId="1" fillId="0" borderId="0" xfId="1" applyNumberFormat="1" applyFon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 w="0"/>
          </c:spPr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1.4666182547919071</c:v>
                </c:pt>
                <c:pt idx="1">
                  <c:v>23.943171845302412</c:v>
                </c:pt>
                <c:pt idx="2">
                  <c:v>22.449369945062053</c:v>
                </c:pt>
                <c:pt idx="3">
                  <c:v>8.6479773894854279</c:v>
                </c:pt>
                <c:pt idx="4">
                  <c:v>7.4562927274959261</c:v>
                </c:pt>
                <c:pt idx="5">
                  <c:v>-1.2188683074379547</c:v>
                </c:pt>
                <c:pt idx="6">
                  <c:v>1.4666182547919071</c:v>
                </c:pt>
                <c:pt idx="7">
                  <c:v>1.4666182547919071</c:v>
                </c:pt>
                <c:pt idx="8">
                  <c:v>1.4666182547919071</c:v>
                </c:pt>
                <c:pt idx="9">
                  <c:v>1.4666182547919071</c:v>
                </c:pt>
                <c:pt idx="10">
                  <c:v>1.4666182547919071</c:v>
                </c:pt>
                <c:pt idx="11">
                  <c:v>1.4666182547919071</c:v>
                </c:pt>
                <c:pt idx="12">
                  <c:v>1.4666182547919071</c:v>
                </c:pt>
                <c:pt idx="14">
                  <c:v>9.3333380952537528</c:v>
                </c:pt>
                <c:pt idx="15">
                  <c:v>10.701338095253751</c:v>
                </c:pt>
                <c:pt idx="17">
                  <c:v>10.017338095253752</c:v>
                </c:pt>
                <c:pt idx="18">
                  <c:v>10.017338095253752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0.62972248121757168</c:v>
                </c:pt>
                <c:pt idx="1">
                  <c:v>4.4565408323951266</c:v>
                </c:pt>
                <c:pt idx="2">
                  <c:v>13.230283242725982</c:v>
                </c:pt>
                <c:pt idx="3">
                  <c:v>10.880482500774853</c:v>
                </c:pt>
                <c:pt idx="4">
                  <c:v>17.879760153960142</c:v>
                </c:pt>
                <c:pt idx="5">
                  <c:v>16.402742544733719</c:v>
                </c:pt>
                <c:pt idx="6">
                  <c:v>0.62972248121757168</c:v>
                </c:pt>
                <c:pt idx="7">
                  <c:v>0.62972248121757168</c:v>
                </c:pt>
                <c:pt idx="8">
                  <c:v>0.62972248121757168</c:v>
                </c:pt>
                <c:pt idx="9">
                  <c:v>0.62972248121757168</c:v>
                </c:pt>
                <c:pt idx="10">
                  <c:v>0.62972248121757168</c:v>
                </c:pt>
                <c:pt idx="11">
                  <c:v>0.62972248121757168</c:v>
                </c:pt>
                <c:pt idx="12">
                  <c:v>0.62972248121757168</c:v>
                </c:pt>
                <c:pt idx="14">
                  <c:v>8.5100381732215542</c:v>
                </c:pt>
                <c:pt idx="15">
                  <c:v>8.5100381732215542</c:v>
                </c:pt>
                <c:pt idx="17">
                  <c:v>7.826038173221554</c:v>
                </c:pt>
                <c:pt idx="18">
                  <c:v>9.1940381732215535</c:v>
                </c:pt>
              </c:numCache>
            </c:numRef>
          </c:yVal>
        </c:ser>
        <c:ser>
          <c:idx val="1"/>
          <c:order val="1"/>
          <c:spPr>
            <a:ln w="0"/>
          </c:spPr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1.2872804040962271</c:v>
                </c:pt>
                <c:pt idx="1">
                  <c:v>23.83654458494091</c:v>
                </c:pt>
                <c:pt idx="2">
                  <c:v>22.520264010562201</c:v>
                </c:pt>
                <c:pt idx="3">
                  <c:v>8.6742246012716038</c:v>
                </c:pt>
                <c:pt idx="4">
                  <c:v>7.6241580756436438</c:v>
                </c:pt>
                <c:pt idx="5">
                  <c:v>-1.0790666959104485</c:v>
                </c:pt>
                <c:pt idx="6">
                  <c:v>1.2872804040962271</c:v>
                </c:pt>
                <c:pt idx="7">
                  <c:v>1.2872804040962271</c:v>
                </c:pt>
                <c:pt idx="8">
                  <c:v>1.2872804040962271</c:v>
                </c:pt>
                <c:pt idx="9">
                  <c:v>1.2872804040962271</c:v>
                </c:pt>
                <c:pt idx="10">
                  <c:v>1.2872804040962271</c:v>
                </c:pt>
                <c:pt idx="11">
                  <c:v>1.2872804040962271</c:v>
                </c:pt>
                <c:pt idx="12">
                  <c:v>1.2872804040962271</c:v>
                </c:pt>
                <c:pt idx="14">
                  <c:v>9.3114264855867628</c:v>
                </c:pt>
                <c:pt idx="15">
                  <c:v>10.679426485586761</c:v>
                </c:pt>
                <c:pt idx="17">
                  <c:v>9.9954264855867621</c:v>
                </c:pt>
                <c:pt idx="18">
                  <c:v>9.9954264855867621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0.55580893670691123</c:v>
                </c:pt>
                <c:pt idx="1">
                  <c:v>3.9278535542164215</c:v>
                </c:pt>
                <c:pt idx="2">
                  <c:v>12.729978607265444</c:v>
                </c:pt>
                <c:pt idx="3">
                  <c:v>10.659424894759605</c:v>
                </c:pt>
                <c:pt idx="4">
                  <c:v>17.681344880899836</c:v>
                </c:pt>
                <c:pt idx="5">
                  <c:v>16.379853975896165</c:v>
                </c:pt>
                <c:pt idx="6">
                  <c:v>0.55580893670691123</c:v>
                </c:pt>
                <c:pt idx="7">
                  <c:v>0.55580893670691123</c:v>
                </c:pt>
                <c:pt idx="8">
                  <c:v>0.55580893670691123</c:v>
                </c:pt>
                <c:pt idx="9">
                  <c:v>0.55580893670691123</c:v>
                </c:pt>
                <c:pt idx="10">
                  <c:v>0.55580893670691123</c:v>
                </c:pt>
                <c:pt idx="11">
                  <c:v>0.55580893670691123</c:v>
                </c:pt>
                <c:pt idx="12">
                  <c:v>0.55580893670691123</c:v>
                </c:pt>
                <c:pt idx="14">
                  <c:v>8.2618051097615712</c:v>
                </c:pt>
                <c:pt idx="15">
                  <c:v>8.2618051097615712</c:v>
                </c:pt>
                <c:pt idx="17">
                  <c:v>7.577805109761572</c:v>
                </c:pt>
                <c:pt idx="18">
                  <c:v>8.9458051097615723</c:v>
                </c:pt>
              </c:numCache>
            </c:numRef>
          </c:yVal>
        </c:ser>
        <c:ser>
          <c:idx val="2"/>
          <c:order val="2"/>
          <c:spPr>
            <a:ln w="0"/>
          </c:spPr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1.0175361639934282</c:v>
                </c:pt>
                <c:pt idx="1">
                  <c:v>23.658534595780967</c:v>
                </c:pt>
                <c:pt idx="2">
                  <c:v>22.609282619015605</c:v>
                </c:pt>
                <c:pt idx="3">
                  <c:v>8.7069151609004489</c:v>
                </c:pt>
                <c:pt idx="4">
                  <c:v>7.8698714490988646</c:v>
                </c:pt>
                <c:pt idx="5">
                  <c:v>-0.86875952457352124</c:v>
                </c:pt>
                <c:pt idx="6">
                  <c:v>1.0175361639934282</c:v>
                </c:pt>
                <c:pt idx="7">
                  <c:v>1.0175361639934282</c:v>
                </c:pt>
                <c:pt idx="8">
                  <c:v>1.0175361639934282</c:v>
                </c:pt>
                <c:pt idx="9">
                  <c:v>1.0175361639934282</c:v>
                </c:pt>
                <c:pt idx="10">
                  <c:v>1.0175361639934282</c:v>
                </c:pt>
                <c:pt idx="11">
                  <c:v>1.0175361639934282</c:v>
                </c:pt>
                <c:pt idx="12">
                  <c:v>1.0175361639934282</c:v>
                </c:pt>
                <c:pt idx="14">
                  <c:v>9.2709397731836845</c:v>
                </c:pt>
                <c:pt idx="15">
                  <c:v>10.638939773183683</c:v>
                </c:pt>
                <c:pt idx="17">
                  <c:v>9.9549397731836837</c:v>
                </c:pt>
                <c:pt idx="18">
                  <c:v>9.9549397731836837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0.443127128316533</c:v>
                </c:pt>
                <c:pt idx="1">
                  <c:v>3.1310984845244332</c:v>
                </c:pt>
                <c:pt idx="2">
                  <c:v>11.969032082897641</c:v>
                </c:pt>
                <c:pt idx="3">
                  <c:v>10.318523355401561</c:v>
                </c:pt>
                <c:pt idx="4">
                  <c:v>17.369009709159961</c:v>
                </c:pt>
                <c:pt idx="5">
                  <c:v>16.331547080448139</c:v>
                </c:pt>
                <c:pt idx="6">
                  <c:v>0.443127128316533</c:v>
                </c:pt>
                <c:pt idx="7">
                  <c:v>0.443127128316533</c:v>
                </c:pt>
                <c:pt idx="8">
                  <c:v>0.443127128316533</c:v>
                </c:pt>
                <c:pt idx="9">
                  <c:v>0.443127128316533</c:v>
                </c:pt>
                <c:pt idx="10">
                  <c:v>0.443127128316533</c:v>
                </c:pt>
                <c:pt idx="11">
                  <c:v>0.443127128316533</c:v>
                </c:pt>
                <c:pt idx="12">
                  <c:v>0.443127128316533</c:v>
                </c:pt>
                <c:pt idx="14">
                  <c:v>7.8820115824632051</c:v>
                </c:pt>
                <c:pt idx="15">
                  <c:v>7.8820115824632051</c:v>
                </c:pt>
                <c:pt idx="17">
                  <c:v>7.1980115824632049</c:v>
                </c:pt>
                <c:pt idx="18">
                  <c:v>8.5660115824632044</c:v>
                </c:pt>
              </c:numCache>
            </c:numRef>
          </c:yVal>
        </c:ser>
        <c:ser>
          <c:idx val="3"/>
          <c:order val="3"/>
          <c:spPr>
            <a:ln w="0"/>
          </c:spPr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0.67026185967691354</c:v>
                </c:pt>
                <c:pt idx="1">
                  <c:v>23.400185212401048</c:v>
                </c:pt>
                <c:pt idx="2">
                  <c:v>22.702932396369057</c:v>
                </c:pt>
                <c:pt idx="3">
                  <c:v>8.7459619166261682</c:v>
                </c:pt>
                <c:pt idx="4">
                  <c:v>8.1897265240613191</c:v>
                </c:pt>
                <c:pt idx="5">
                  <c:v>-0.58322634891992542</c:v>
                </c:pt>
                <c:pt idx="6">
                  <c:v>0.67026185967691354</c:v>
                </c:pt>
                <c:pt idx="7">
                  <c:v>0.67026185967691354</c:v>
                </c:pt>
                <c:pt idx="8">
                  <c:v>0.67026185967691354</c:v>
                </c:pt>
                <c:pt idx="9">
                  <c:v>0.67026185967691354</c:v>
                </c:pt>
                <c:pt idx="10">
                  <c:v>0.67026185967691354</c:v>
                </c:pt>
                <c:pt idx="11">
                  <c:v>0.67026185967691354</c:v>
                </c:pt>
                <c:pt idx="12">
                  <c:v>0.67026185967691354</c:v>
                </c:pt>
                <c:pt idx="14">
                  <c:v>9.2121874466976923</c:v>
                </c:pt>
                <c:pt idx="15">
                  <c:v>10.580187446697691</c:v>
                </c:pt>
                <c:pt idx="17">
                  <c:v>9.8961874466976916</c:v>
                </c:pt>
                <c:pt idx="18">
                  <c:v>9.8961874466976916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0.3010880409542972</c:v>
                </c:pt>
                <c:pt idx="1">
                  <c:v>2.0873087382047943</c:v>
                </c:pt>
                <c:pt idx="2">
                  <c:v>10.959954257469917</c:v>
                </c:pt>
                <c:pt idx="3">
                  <c:v>9.8631520749476813</c:v>
                </c:pt>
                <c:pt idx="4">
                  <c:v>16.941329961103001</c:v>
                </c:pt>
                <c:pt idx="5">
                  <c:v>16.251911446374741</c:v>
                </c:pt>
                <c:pt idx="6">
                  <c:v>0.3010880409542972</c:v>
                </c:pt>
                <c:pt idx="7">
                  <c:v>0.3010880409542972</c:v>
                </c:pt>
                <c:pt idx="8">
                  <c:v>0.3010880409542972</c:v>
                </c:pt>
                <c:pt idx="9">
                  <c:v>0.3010880409542972</c:v>
                </c:pt>
                <c:pt idx="10">
                  <c:v>0.3010880409542972</c:v>
                </c:pt>
                <c:pt idx="11">
                  <c:v>0.3010880409542972</c:v>
                </c:pt>
                <c:pt idx="12">
                  <c:v>0.3010880409542972</c:v>
                </c:pt>
                <c:pt idx="14">
                  <c:v>7.378974890746921</c:v>
                </c:pt>
                <c:pt idx="15">
                  <c:v>7.378974890746921</c:v>
                </c:pt>
                <c:pt idx="17">
                  <c:v>6.6949748907469209</c:v>
                </c:pt>
                <c:pt idx="18">
                  <c:v>8.0629748907469221</c:v>
                </c:pt>
              </c:numCache>
            </c:numRef>
          </c:yVal>
        </c:ser>
        <c:ser>
          <c:idx val="4"/>
          <c:order val="4"/>
          <c:spPr>
            <a:ln w="0"/>
          </c:spPr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0.29547765831472972</c:v>
                </c:pt>
                <c:pt idx="1">
                  <c:v>23.081984346842759</c:v>
                </c:pt>
                <c:pt idx="2">
                  <c:v>22.775835527413474</c:v>
                </c:pt>
                <c:pt idx="3">
                  <c:v>8.7841208941067883</c:v>
                </c:pt>
                <c:pt idx="4">
                  <c:v>8.5398898134384797</c:v>
                </c:pt>
                <c:pt idx="5">
                  <c:v>-0.25490224178286736</c:v>
                </c:pt>
                <c:pt idx="6">
                  <c:v>0.29547765831472972</c:v>
                </c:pt>
                <c:pt idx="7">
                  <c:v>0.29547765831472972</c:v>
                </c:pt>
                <c:pt idx="8">
                  <c:v>0.29547765831472972</c:v>
                </c:pt>
                <c:pt idx="9">
                  <c:v>0.29547765831472972</c:v>
                </c:pt>
                <c:pt idx="10">
                  <c:v>0.29547765831472972</c:v>
                </c:pt>
                <c:pt idx="11">
                  <c:v>0.29547765831472972</c:v>
                </c:pt>
                <c:pt idx="12">
                  <c:v>0.29547765831472972</c:v>
                </c:pt>
                <c:pt idx="14">
                  <c:v>9.1399194669275925</c:v>
                </c:pt>
                <c:pt idx="15">
                  <c:v>10.507919466927591</c:v>
                </c:pt>
                <c:pt idx="17">
                  <c:v>9.8239194669275918</c:v>
                </c:pt>
                <c:pt idx="18">
                  <c:v>9.8239194669275918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0.14638762594476762</c:v>
                </c:pt>
                <c:pt idx="1">
                  <c:v>0.93067898358384182</c:v>
                </c:pt>
                <c:pt idx="2">
                  <c:v>9.8254118576145206</c:v>
                </c:pt>
                <c:pt idx="3">
                  <c:v>9.3438294450291259</c:v>
                </c:pt>
                <c:pt idx="4">
                  <c:v>16.439627580491802</c:v>
                </c:pt>
                <c:pt idx="5">
                  <c:v>16.136918635438121</c:v>
                </c:pt>
                <c:pt idx="6">
                  <c:v>0.14638762594476762</c:v>
                </c:pt>
                <c:pt idx="7">
                  <c:v>0.14638762594476762</c:v>
                </c:pt>
                <c:pt idx="8">
                  <c:v>0.14638762594476762</c:v>
                </c:pt>
                <c:pt idx="9">
                  <c:v>0.14638762594476762</c:v>
                </c:pt>
                <c:pt idx="10">
                  <c:v>0.14638762594476762</c:v>
                </c:pt>
                <c:pt idx="11">
                  <c:v>0.14638762594476762</c:v>
                </c:pt>
                <c:pt idx="12">
                  <c:v>0.14638762594476762</c:v>
                </c:pt>
                <c:pt idx="14">
                  <c:v>6.8114444070675297</c:v>
                </c:pt>
                <c:pt idx="15">
                  <c:v>6.8114444070675297</c:v>
                </c:pt>
                <c:pt idx="17">
                  <c:v>6.1274444070675296</c:v>
                </c:pt>
                <c:pt idx="18">
                  <c:v>7.4954444070675299</c:v>
                </c:pt>
              </c:numCache>
            </c:numRef>
          </c:yVal>
        </c:ser>
        <c:ser>
          <c:idx val="5"/>
          <c:order val="5"/>
          <c:spPr>
            <a:ln w="0"/>
          </c:spPr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6"/>
          <c:order val="6"/>
          <c:spPr>
            <a:ln w="0"/>
          </c:spPr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7"/>
          <c:order val="7"/>
          <c:spPr>
            <a:ln w="0"/>
          </c:spPr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8"/>
          <c:order val="8"/>
          <c:spPr>
            <a:ln w="0"/>
          </c:spPr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9"/>
          <c:order val="9"/>
          <c:spPr>
            <a:ln w="0"/>
          </c:spPr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10"/>
          <c:order val="10"/>
          <c:spPr>
            <a:ln w="0"/>
          </c:spPr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9.0680723436322541</c:v>
                </c:pt>
                <c:pt idx="15">
                  <c:v>10.436072343632253</c:v>
                </c:pt>
                <c:pt idx="17">
                  <c:v>9.7520723436322534</c:v>
                </c:pt>
                <c:pt idx="18">
                  <c:v>9.7520723436322534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6.3333458929917104</c:v>
                </c:pt>
                <c:pt idx="15">
                  <c:v>6.3333458929917104</c:v>
                </c:pt>
                <c:pt idx="17">
                  <c:v>5.6493458929917102</c:v>
                </c:pt>
                <c:pt idx="18">
                  <c:v>7.0173458929917105</c:v>
                </c:pt>
              </c:numCache>
            </c:numRef>
          </c:yVal>
        </c:ser>
        <c:axId val="121169408"/>
        <c:axId val="121170944"/>
      </c:scatterChart>
      <c:valAx>
        <c:axId val="121169408"/>
        <c:scaling>
          <c:orientation val="minMax"/>
          <c:max val="30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1170944"/>
        <c:crosses val="autoZero"/>
        <c:crossBetween val="midCat"/>
        <c:majorUnit val="5"/>
      </c:valAx>
      <c:valAx>
        <c:axId val="121170944"/>
        <c:scaling>
          <c:orientation val="minMax"/>
          <c:max val="20"/>
          <c:min val="-5"/>
        </c:scaling>
        <c:axPos val="l"/>
        <c:numFmt formatCode="0" sourceLinked="0"/>
        <c:tickLblPos val="nextTo"/>
        <c:spPr>
          <a:ln w="3175"/>
        </c:spPr>
        <c:crossAx val="121169408"/>
        <c:crosses val="autoZero"/>
        <c:crossBetween val="midCat"/>
        <c:majorUnit val="5"/>
      </c:valAx>
      <c:spPr>
        <a:ln w="0"/>
      </c:spPr>
    </c:plotArea>
    <c:plotVisOnly val="1"/>
    <c:dispBlanksAs val="gap"/>
  </c:chart>
  <c:spPr>
    <a:ln w="0"/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96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Invil.mod.x!$A$42:$A$45</c:f>
              <c:numCache>
                <c:formatCode>0.00</c:formatCode>
                <c:ptCount val="4"/>
                <c:pt idx="0">
                  <c:v>32.775500000000001</c:v>
                </c:pt>
                <c:pt idx="1">
                  <c:v>26.3</c:v>
                </c:pt>
                <c:pt idx="2" formatCode="General">
                  <c:v>26.3</c:v>
                </c:pt>
                <c:pt idx="3">
                  <c:v>32.502000000000002</c:v>
                </c:pt>
              </c:numCache>
            </c:numRef>
          </c:xVal>
          <c:yVal>
            <c:numRef>
              <c:f>Invil.mod.x!$B$42:$B$45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Invil.mod.x!$E$42:$E$62</c:f>
              <c:numCache>
                <c:formatCode>0.00</c:formatCode>
                <c:ptCount val="21"/>
                <c:pt idx="0">
                  <c:v>32.775500000000001</c:v>
                </c:pt>
                <c:pt idx="1">
                  <c:v>32.732750000000003</c:v>
                </c:pt>
                <c:pt idx="2">
                  <c:v>32.69</c:v>
                </c:pt>
                <c:pt idx="3">
                  <c:v>32.652250000000002</c:v>
                </c:pt>
                <c:pt idx="4">
                  <c:v>32.6145</c:v>
                </c:pt>
                <c:pt idx="5">
                  <c:v>32.608423501577285</c:v>
                </c:pt>
                <c:pt idx="6">
                  <c:v>32.557000000000002</c:v>
                </c:pt>
                <c:pt idx="7">
                  <c:v>32.529499999999999</c:v>
                </c:pt>
                <c:pt idx="8">
                  <c:v>32.502000000000002</c:v>
                </c:pt>
                <c:pt idx="9">
                  <c:v>32.502000000000002</c:v>
                </c:pt>
                <c:pt idx="10">
                  <c:v>32.502000000000002</c:v>
                </c:pt>
                <c:pt idx="11">
                  <c:v>32.502000000000002</c:v>
                </c:pt>
                <c:pt idx="12">
                  <c:v>32.502000000000002</c:v>
                </c:pt>
                <c:pt idx="13">
                  <c:v>32.502000000000002</c:v>
                </c:pt>
                <c:pt idx="14">
                  <c:v>32.502000000000002</c:v>
                </c:pt>
                <c:pt idx="15">
                  <c:v>32.502000000000002</c:v>
                </c:pt>
                <c:pt idx="16">
                  <c:v>32.502000000000002</c:v>
                </c:pt>
                <c:pt idx="17">
                  <c:v>32.502000000000002</c:v>
                </c:pt>
                <c:pt idx="18">
                  <c:v>32.502000000000002</c:v>
                </c:pt>
                <c:pt idx="19">
                  <c:v>32.502000000000002</c:v>
                </c:pt>
                <c:pt idx="20">
                  <c:v>32.502000000000002</c:v>
                </c:pt>
              </c:numCache>
            </c:numRef>
          </c:xVal>
          <c:yVal>
            <c:numRef>
              <c:f>Invil.mod.x!$F$42:$F$62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Invil.mod.x!$I$42:$I$62</c:f>
              <c:numCache>
                <c:formatCode>0.00</c:formatCode>
                <c:ptCount val="21"/>
                <c:pt idx="0">
                  <c:v>32.090000000000003</c:v>
                </c:pt>
                <c:pt idx="1">
                  <c:v>32.045749999999998</c:v>
                </c:pt>
                <c:pt idx="2">
                  <c:v>32.0015</c:v>
                </c:pt>
                <c:pt idx="3">
                  <c:v>31.962</c:v>
                </c:pt>
                <c:pt idx="4">
                  <c:v>31.922499999999999</c:v>
                </c:pt>
                <c:pt idx="5">
                  <c:v>31.915947949526814</c:v>
                </c:pt>
                <c:pt idx="6">
                  <c:v>31.860500000000002</c:v>
                </c:pt>
                <c:pt idx="7">
                  <c:v>31.831</c:v>
                </c:pt>
                <c:pt idx="8">
                  <c:v>31.801500000000001</c:v>
                </c:pt>
                <c:pt idx="9">
                  <c:v>31.801500000000001</c:v>
                </c:pt>
                <c:pt idx="10">
                  <c:v>31.801500000000001</c:v>
                </c:pt>
                <c:pt idx="11">
                  <c:v>31.801500000000001</c:v>
                </c:pt>
                <c:pt idx="12">
                  <c:v>31.801500000000001</c:v>
                </c:pt>
                <c:pt idx="13">
                  <c:v>31.801500000000001</c:v>
                </c:pt>
                <c:pt idx="14">
                  <c:v>31.801500000000001</c:v>
                </c:pt>
                <c:pt idx="15">
                  <c:v>31.801500000000001</c:v>
                </c:pt>
                <c:pt idx="16">
                  <c:v>31.801500000000001</c:v>
                </c:pt>
                <c:pt idx="17">
                  <c:v>31.801500000000001</c:v>
                </c:pt>
                <c:pt idx="18">
                  <c:v>31.801500000000001</c:v>
                </c:pt>
                <c:pt idx="19">
                  <c:v>31.801500000000001</c:v>
                </c:pt>
                <c:pt idx="20">
                  <c:v>31.801500000000001</c:v>
                </c:pt>
              </c:numCache>
            </c:numRef>
          </c:xVal>
          <c:yVal>
            <c:numRef>
              <c:f>Invil.mod.x!$J$42:$J$62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Invil.mod.x!$M$42:$M$62</c:f>
              <c:numCache>
                <c:formatCode>0.00</c:formatCode>
                <c:ptCount val="21"/>
                <c:pt idx="0">
                  <c:v>31.004000000000001</c:v>
                </c:pt>
                <c:pt idx="1">
                  <c:v>30.963000000000001</c:v>
                </c:pt>
                <c:pt idx="2">
                  <c:v>30.922000000000001</c:v>
                </c:pt>
                <c:pt idx="3">
                  <c:v>30.885000000000002</c:v>
                </c:pt>
                <c:pt idx="4">
                  <c:v>30.847999999999999</c:v>
                </c:pt>
                <c:pt idx="5">
                  <c:v>30.841817823343849</c:v>
                </c:pt>
                <c:pt idx="6">
                  <c:v>30.7895</c:v>
                </c:pt>
                <c:pt idx="7">
                  <c:v>30.760999999999999</c:v>
                </c:pt>
                <c:pt idx="8">
                  <c:v>30.732500000000002</c:v>
                </c:pt>
                <c:pt idx="9">
                  <c:v>30.732500000000002</c:v>
                </c:pt>
                <c:pt idx="10">
                  <c:v>30.732500000000002</c:v>
                </c:pt>
                <c:pt idx="11">
                  <c:v>30.732500000000002</c:v>
                </c:pt>
                <c:pt idx="12">
                  <c:v>30.732500000000002</c:v>
                </c:pt>
                <c:pt idx="13">
                  <c:v>30.732500000000002</c:v>
                </c:pt>
                <c:pt idx="14">
                  <c:v>30.732500000000002</c:v>
                </c:pt>
                <c:pt idx="15">
                  <c:v>30.732500000000002</c:v>
                </c:pt>
                <c:pt idx="16">
                  <c:v>30.732500000000002</c:v>
                </c:pt>
                <c:pt idx="17">
                  <c:v>30.732500000000002</c:v>
                </c:pt>
                <c:pt idx="18">
                  <c:v>30.732500000000002</c:v>
                </c:pt>
                <c:pt idx="19">
                  <c:v>30.732500000000002</c:v>
                </c:pt>
                <c:pt idx="20">
                  <c:v>30.732500000000002</c:v>
                </c:pt>
              </c:numCache>
            </c:numRef>
          </c:xVal>
          <c:yVal>
            <c:numRef>
              <c:f>Invil.mod.x!$N$42:$N$62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Invil.mod.x!$Q$42:$Q$62</c:f>
              <c:numCache>
                <c:formatCode>0.00</c:formatCode>
                <c:ptCount val="21"/>
                <c:pt idx="0">
                  <c:v>29.538499999999999</c:v>
                </c:pt>
                <c:pt idx="1">
                  <c:v>29.505500000000001</c:v>
                </c:pt>
                <c:pt idx="2">
                  <c:v>29.4725</c:v>
                </c:pt>
                <c:pt idx="3">
                  <c:v>29.442499999999999</c:v>
                </c:pt>
                <c:pt idx="4">
                  <c:v>29.412500000000001</c:v>
                </c:pt>
                <c:pt idx="5">
                  <c:v>29.407480283911674</c:v>
                </c:pt>
                <c:pt idx="6">
                  <c:v>29.365000000000002</c:v>
                </c:pt>
                <c:pt idx="7">
                  <c:v>29.3415</c:v>
                </c:pt>
                <c:pt idx="8">
                  <c:v>29.318000000000001</c:v>
                </c:pt>
                <c:pt idx="9">
                  <c:v>29.318000000000001</c:v>
                </c:pt>
                <c:pt idx="10">
                  <c:v>29.318000000000001</c:v>
                </c:pt>
                <c:pt idx="11">
                  <c:v>29.318000000000001</c:v>
                </c:pt>
                <c:pt idx="12">
                  <c:v>29.318000000000001</c:v>
                </c:pt>
                <c:pt idx="13">
                  <c:v>29.318000000000001</c:v>
                </c:pt>
                <c:pt idx="14">
                  <c:v>29.318000000000001</c:v>
                </c:pt>
                <c:pt idx="15">
                  <c:v>29.318000000000001</c:v>
                </c:pt>
                <c:pt idx="16">
                  <c:v>29.318000000000001</c:v>
                </c:pt>
                <c:pt idx="17">
                  <c:v>29.318000000000001</c:v>
                </c:pt>
                <c:pt idx="18">
                  <c:v>29.318000000000001</c:v>
                </c:pt>
                <c:pt idx="19">
                  <c:v>29.318000000000001</c:v>
                </c:pt>
                <c:pt idx="20">
                  <c:v>29.318000000000001</c:v>
                </c:pt>
              </c:numCache>
            </c:numRef>
          </c:xVal>
          <c:yVal>
            <c:numRef>
              <c:f>Invil.mod.x!$R$42:$R$62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Invil.mod.x!$U$42:$U$62</c:f>
              <c:numCache>
                <c:formatCode>0.00</c:formatCode>
                <c:ptCount val="21"/>
                <c:pt idx="0">
                  <c:v>27.836000000000002</c:v>
                </c:pt>
                <c:pt idx="1">
                  <c:v>27.816500000000001</c:v>
                </c:pt>
                <c:pt idx="2">
                  <c:v>27.797000000000001</c:v>
                </c:pt>
                <c:pt idx="3">
                  <c:v>27.779</c:v>
                </c:pt>
                <c:pt idx="4">
                  <c:v>27.760999999999999</c:v>
                </c:pt>
                <c:pt idx="5">
                  <c:v>27.757988170347005</c:v>
                </c:pt>
                <c:pt idx="6">
                  <c:v>27.732500000000002</c:v>
                </c:pt>
                <c:pt idx="7">
                  <c:v>27.718</c:v>
                </c:pt>
                <c:pt idx="8">
                  <c:v>27.703500000000002</c:v>
                </c:pt>
                <c:pt idx="9">
                  <c:v>27.703500000000002</c:v>
                </c:pt>
                <c:pt idx="10">
                  <c:v>27.703500000000002</c:v>
                </c:pt>
                <c:pt idx="11">
                  <c:v>27.703500000000002</c:v>
                </c:pt>
                <c:pt idx="12">
                  <c:v>27.703500000000002</c:v>
                </c:pt>
                <c:pt idx="13">
                  <c:v>27.703500000000002</c:v>
                </c:pt>
                <c:pt idx="14">
                  <c:v>27.703500000000002</c:v>
                </c:pt>
                <c:pt idx="15">
                  <c:v>27.703500000000002</c:v>
                </c:pt>
                <c:pt idx="16">
                  <c:v>27.703500000000002</c:v>
                </c:pt>
                <c:pt idx="17">
                  <c:v>27.703500000000002</c:v>
                </c:pt>
                <c:pt idx="18">
                  <c:v>27.703500000000002</c:v>
                </c:pt>
                <c:pt idx="19">
                  <c:v>27.703500000000002</c:v>
                </c:pt>
                <c:pt idx="20">
                  <c:v>27.703500000000002</c:v>
                </c:pt>
              </c:numCache>
            </c:numRef>
          </c:xVal>
          <c:yVal>
            <c:numRef>
              <c:f>Invil.mod.x!$V$42:$V$62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Invil.mod.x!$Y$42:$Y$62</c:f>
              <c:numCache>
                <c:formatCode>0.00</c:formatCode>
                <c:ptCount val="21"/>
                <c:pt idx="0">
                  <c:v>27.836000000000002</c:v>
                </c:pt>
                <c:pt idx="1">
                  <c:v>27.816500000000001</c:v>
                </c:pt>
                <c:pt idx="2">
                  <c:v>27.797000000000001</c:v>
                </c:pt>
                <c:pt idx="3">
                  <c:v>27.779</c:v>
                </c:pt>
                <c:pt idx="4">
                  <c:v>27.760999999999999</c:v>
                </c:pt>
                <c:pt idx="5">
                  <c:v>27.757988170347005</c:v>
                </c:pt>
                <c:pt idx="6">
                  <c:v>27.732500000000002</c:v>
                </c:pt>
                <c:pt idx="7">
                  <c:v>27.718</c:v>
                </c:pt>
                <c:pt idx="8">
                  <c:v>27.703500000000002</c:v>
                </c:pt>
                <c:pt idx="9">
                  <c:v>27.703500000000002</c:v>
                </c:pt>
                <c:pt idx="10">
                  <c:v>27.703500000000002</c:v>
                </c:pt>
                <c:pt idx="11">
                  <c:v>27.703500000000002</c:v>
                </c:pt>
                <c:pt idx="12">
                  <c:v>27.703500000000002</c:v>
                </c:pt>
                <c:pt idx="13">
                  <c:v>27.703500000000002</c:v>
                </c:pt>
                <c:pt idx="14">
                  <c:v>27.703500000000002</c:v>
                </c:pt>
                <c:pt idx="15">
                  <c:v>27.703500000000002</c:v>
                </c:pt>
                <c:pt idx="16">
                  <c:v>27.703500000000002</c:v>
                </c:pt>
                <c:pt idx="17">
                  <c:v>27.703500000000002</c:v>
                </c:pt>
                <c:pt idx="18">
                  <c:v>27.703500000000002</c:v>
                </c:pt>
                <c:pt idx="19">
                  <c:v>27.703500000000002</c:v>
                </c:pt>
                <c:pt idx="20">
                  <c:v>27.703500000000002</c:v>
                </c:pt>
              </c:numCache>
            </c:numRef>
          </c:xVal>
          <c:yVal>
            <c:numRef>
              <c:f>Invil.mod.x!$Z$42:$Z$62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Invil.mod.x!$B$63:$B$66</c:f>
              <c:numCache>
                <c:formatCode>0.00</c:formatCode>
                <c:ptCount val="4"/>
                <c:pt idx="0">
                  <c:v>20.1265</c:v>
                </c:pt>
                <c:pt idx="1">
                  <c:v>19.5</c:v>
                </c:pt>
                <c:pt idx="2" formatCode="General">
                  <c:v>19.5</c:v>
                </c:pt>
                <c:pt idx="3">
                  <c:v>20.499500000000001</c:v>
                </c:pt>
              </c:numCache>
            </c:numRef>
          </c:yVal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Invil.mod.x!$F$64:$F$84</c:f>
              <c:numCache>
                <c:formatCode>0.00</c:formatCode>
                <c:ptCount val="21"/>
                <c:pt idx="0">
                  <c:v>20.1265</c:v>
                </c:pt>
                <c:pt idx="1">
                  <c:v>20.09</c:v>
                </c:pt>
                <c:pt idx="2">
                  <c:v>20.0535</c:v>
                </c:pt>
                <c:pt idx="3">
                  <c:v>20.059000000000001</c:v>
                </c:pt>
                <c:pt idx="4">
                  <c:v>20.064499999999999</c:v>
                </c:pt>
                <c:pt idx="5">
                  <c:v>20.09075</c:v>
                </c:pt>
                <c:pt idx="6">
                  <c:v>20.117000000000001</c:v>
                </c:pt>
                <c:pt idx="7">
                  <c:v>20.161000000000001</c:v>
                </c:pt>
                <c:pt idx="8">
                  <c:v>20.204999999999998</c:v>
                </c:pt>
                <c:pt idx="9">
                  <c:v>20.279250000000001</c:v>
                </c:pt>
                <c:pt idx="10">
                  <c:v>20.3535</c:v>
                </c:pt>
                <c:pt idx="11">
                  <c:v>20.426500000000001</c:v>
                </c:pt>
                <c:pt idx="12">
                  <c:v>20.499500000000001</c:v>
                </c:pt>
                <c:pt idx="13">
                  <c:v>20.499500000000001</c:v>
                </c:pt>
                <c:pt idx="14">
                  <c:v>20.499500000000001</c:v>
                </c:pt>
                <c:pt idx="15">
                  <c:v>20.499500000000001</c:v>
                </c:pt>
                <c:pt idx="16">
                  <c:v>20.499500000000001</c:v>
                </c:pt>
                <c:pt idx="17">
                  <c:v>20.499500000000001</c:v>
                </c:pt>
                <c:pt idx="18">
                  <c:v>20.499500000000001</c:v>
                </c:pt>
                <c:pt idx="19">
                  <c:v>20.499500000000001</c:v>
                </c:pt>
                <c:pt idx="20">
                  <c:v>20.499500000000001</c:v>
                </c:pt>
              </c:numCache>
            </c:numRef>
          </c:yVal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Invil.mod.x!$J$64:$J$84</c:f>
              <c:numCache>
                <c:formatCode>0.00</c:formatCode>
                <c:ptCount val="21"/>
                <c:pt idx="0">
                  <c:v>20.076999999999998</c:v>
                </c:pt>
                <c:pt idx="1">
                  <c:v>20.039000000000001</c:v>
                </c:pt>
                <c:pt idx="2">
                  <c:v>20.001000000000001</c:v>
                </c:pt>
                <c:pt idx="3">
                  <c:v>20.001249999999999</c:v>
                </c:pt>
                <c:pt idx="4">
                  <c:v>20.0015</c:v>
                </c:pt>
                <c:pt idx="5">
                  <c:v>20.02225</c:v>
                </c:pt>
                <c:pt idx="6">
                  <c:v>20.042999999999999</c:v>
                </c:pt>
                <c:pt idx="7">
                  <c:v>20.080750000000002</c:v>
                </c:pt>
                <c:pt idx="8">
                  <c:v>20.118500000000001</c:v>
                </c:pt>
                <c:pt idx="9">
                  <c:v>20.184000000000001</c:v>
                </c:pt>
                <c:pt idx="10">
                  <c:v>20.249500000000001</c:v>
                </c:pt>
                <c:pt idx="11">
                  <c:v>20.31475</c:v>
                </c:pt>
                <c:pt idx="12">
                  <c:v>20.38</c:v>
                </c:pt>
                <c:pt idx="13">
                  <c:v>20.38</c:v>
                </c:pt>
                <c:pt idx="14">
                  <c:v>20.38</c:v>
                </c:pt>
                <c:pt idx="15">
                  <c:v>20.38</c:v>
                </c:pt>
                <c:pt idx="16">
                  <c:v>20.38</c:v>
                </c:pt>
                <c:pt idx="17">
                  <c:v>20.38</c:v>
                </c:pt>
                <c:pt idx="18">
                  <c:v>20.38</c:v>
                </c:pt>
                <c:pt idx="19">
                  <c:v>20.38</c:v>
                </c:pt>
                <c:pt idx="20">
                  <c:v>20.38</c:v>
                </c:pt>
              </c:numCache>
            </c:numRef>
          </c:yVal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Invil.mod.x!$N$64:$N$84</c:f>
              <c:numCache>
                <c:formatCode>0.00</c:formatCode>
                <c:ptCount val="21"/>
                <c:pt idx="0">
                  <c:v>19.984000000000002</c:v>
                </c:pt>
                <c:pt idx="1">
                  <c:v>19.948250000000002</c:v>
                </c:pt>
                <c:pt idx="2">
                  <c:v>19.912500000000001</c:v>
                </c:pt>
                <c:pt idx="3">
                  <c:v>19.908750000000001</c:v>
                </c:pt>
                <c:pt idx="4">
                  <c:v>19.905000000000001</c:v>
                </c:pt>
                <c:pt idx="5">
                  <c:v>19.919499999999999</c:v>
                </c:pt>
                <c:pt idx="6">
                  <c:v>19.934000000000001</c:v>
                </c:pt>
                <c:pt idx="7">
                  <c:v>19.963000000000001</c:v>
                </c:pt>
                <c:pt idx="8">
                  <c:v>19.992000000000001</c:v>
                </c:pt>
                <c:pt idx="9">
                  <c:v>20.044750000000001</c:v>
                </c:pt>
                <c:pt idx="10">
                  <c:v>20.0975</c:v>
                </c:pt>
                <c:pt idx="11">
                  <c:v>20.150749999999999</c:v>
                </c:pt>
                <c:pt idx="12">
                  <c:v>20.204000000000001</c:v>
                </c:pt>
                <c:pt idx="13">
                  <c:v>20.204000000000001</c:v>
                </c:pt>
                <c:pt idx="14">
                  <c:v>20.204000000000001</c:v>
                </c:pt>
                <c:pt idx="15">
                  <c:v>20.204000000000001</c:v>
                </c:pt>
                <c:pt idx="16">
                  <c:v>20.204000000000001</c:v>
                </c:pt>
                <c:pt idx="17">
                  <c:v>20.204000000000001</c:v>
                </c:pt>
                <c:pt idx="18">
                  <c:v>20.204000000000001</c:v>
                </c:pt>
                <c:pt idx="19">
                  <c:v>20.204000000000001</c:v>
                </c:pt>
                <c:pt idx="20">
                  <c:v>20.204000000000001</c:v>
                </c:pt>
              </c:numCache>
            </c:numRef>
          </c:yVal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Invil.mod.x!$R$64:$R$84</c:f>
              <c:numCache>
                <c:formatCode>0.00</c:formatCode>
                <c:ptCount val="21"/>
                <c:pt idx="0">
                  <c:v>19.848500000000001</c:v>
                </c:pt>
                <c:pt idx="1">
                  <c:v>19.81925</c:v>
                </c:pt>
                <c:pt idx="2">
                  <c:v>19.79</c:v>
                </c:pt>
                <c:pt idx="3">
                  <c:v>19.783249999999999</c:v>
                </c:pt>
                <c:pt idx="4">
                  <c:v>19.776499999999999</c:v>
                </c:pt>
                <c:pt idx="5">
                  <c:v>19.783999999999999</c:v>
                </c:pt>
                <c:pt idx="6">
                  <c:v>19.791499999999999</c:v>
                </c:pt>
                <c:pt idx="7">
                  <c:v>19.809999999999999</c:v>
                </c:pt>
                <c:pt idx="8">
                  <c:v>19.828499999999998</c:v>
                </c:pt>
                <c:pt idx="9">
                  <c:v>19.864249999999998</c:v>
                </c:pt>
                <c:pt idx="10">
                  <c:v>19.899999999999999</c:v>
                </c:pt>
                <c:pt idx="11">
                  <c:v>19.937000000000001</c:v>
                </c:pt>
                <c:pt idx="12">
                  <c:v>19.974</c:v>
                </c:pt>
                <c:pt idx="13">
                  <c:v>19.974</c:v>
                </c:pt>
                <c:pt idx="14">
                  <c:v>19.974</c:v>
                </c:pt>
                <c:pt idx="15">
                  <c:v>19.974</c:v>
                </c:pt>
                <c:pt idx="16">
                  <c:v>19.974</c:v>
                </c:pt>
                <c:pt idx="17">
                  <c:v>19.974</c:v>
                </c:pt>
                <c:pt idx="18">
                  <c:v>19.974</c:v>
                </c:pt>
                <c:pt idx="19">
                  <c:v>19.974</c:v>
                </c:pt>
                <c:pt idx="20">
                  <c:v>19.974</c:v>
                </c:pt>
              </c:numCache>
            </c:numRef>
          </c:yVal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Invil.mod.x!$V$64:$V$84</c:f>
              <c:numCache>
                <c:formatCode>0.00</c:formatCode>
                <c:ptCount val="21"/>
                <c:pt idx="0">
                  <c:v>19.68</c:v>
                </c:pt>
                <c:pt idx="1">
                  <c:v>19.66225</c:v>
                </c:pt>
                <c:pt idx="2">
                  <c:v>19.644500000000001</c:v>
                </c:pt>
                <c:pt idx="3">
                  <c:v>19.637499999999999</c:v>
                </c:pt>
                <c:pt idx="4">
                  <c:v>19.630500000000001</c:v>
                </c:pt>
                <c:pt idx="5">
                  <c:v>19.63175</c:v>
                </c:pt>
                <c:pt idx="6">
                  <c:v>19.632999999999999</c:v>
                </c:pt>
                <c:pt idx="7">
                  <c:v>19.640250000000002</c:v>
                </c:pt>
                <c:pt idx="8">
                  <c:v>19.647500000000001</c:v>
                </c:pt>
                <c:pt idx="9">
                  <c:v>19.664000000000001</c:v>
                </c:pt>
                <c:pt idx="10">
                  <c:v>19.680499999999999</c:v>
                </c:pt>
                <c:pt idx="11">
                  <c:v>19.698499999999999</c:v>
                </c:pt>
                <c:pt idx="12">
                  <c:v>19.7165</c:v>
                </c:pt>
                <c:pt idx="13">
                  <c:v>19.7165</c:v>
                </c:pt>
                <c:pt idx="14">
                  <c:v>19.7165</c:v>
                </c:pt>
                <c:pt idx="15">
                  <c:v>19.7165</c:v>
                </c:pt>
                <c:pt idx="16">
                  <c:v>19.7165</c:v>
                </c:pt>
                <c:pt idx="17">
                  <c:v>19.7165</c:v>
                </c:pt>
                <c:pt idx="18">
                  <c:v>19.7165</c:v>
                </c:pt>
                <c:pt idx="19">
                  <c:v>19.7165</c:v>
                </c:pt>
                <c:pt idx="20">
                  <c:v>19.7165</c:v>
                </c:pt>
              </c:numCache>
            </c:numRef>
          </c:yVal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Invil.mod.x!$Y$64:$Y$84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Invil.mod.x!$Z$64:$Z$84</c:f>
              <c:numCache>
                <c:formatCode>0.00</c:formatCode>
                <c:ptCount val="21"/>
                <c:pt idx="0">
                  <c:v>19.68</c:v>
                </c:pt>
                <c:pt idx="1">
                  <c:v>19.66225</c:v>
                </c:pt>
                <c:pt idx="2">
                  <c:v>19.644500000000001</c:v>
                </c:pt>
                <c:pt idx="3">
                  <c:v>19.637499999999999</c:v>
                </c:pt>
                <c:pt idx="4">
                  <c:v>19.630500000000001</c:v>
                </c:pt>
                <c:pt idx="5">
                  <c:v>19.63175</c:v>
                </c:pt>
                <c:pt idx="6">
                  <c:v>19.632999999999999</c:v>
                </c:pt>
                <c:pt idx="7">
                  <c:v>19.640250000000002</c:v>
                </c:pt>
                <c:pt idx="8">
                  <c:v>19.647500000000001</c:v>
                </c:pt>
                <c:pt idx="9">
                  <c:v>19.664000000000001</c:v>
                </c:pt>
                <c:pt idx="10">
                  <c:v>19.680499999999999</c:v>
                </c:pt>
                <c:pt idx="11">
                  <c:v>19.698499999999999</c:v>
                </c:pt>
                <c:pt idx="12">
                  <c:v>19.7165</c:v>
                </c:pt>
                <c:pt idx="13">
                  <c:v>19.7165</c:v>
                </c:pt>
                <c:pt idx="14">
                  <c:v>19.7165</c:v>
                </c:pt>
                <c:pt idx="15">
                  <c:v>19.7165</c:v>
                </c:pt>
                <c:pt idx="16">
                  <c:v>19.7165</c:v>
                </c:pt>
                <c:pt idx="17">
                  <c:v>19.7165</c:v>
                </c:pt>
                <c:pt idx="18">
                  <c:v>19.7165</c:v>
                </c:pt>
                <c:pt idx="19">
                  <c:v>19.7165</c:v>
                </c:pt>
                <c:pt idx="20">
                  <c:v>19.7165</c:v>
                </c:pt>
              </c:numCache>
            </c:numRef>
          </c:yVal>
        </c:ser>
        <c:axId val="122858496"/>
        <c:axId val="122876672"/>
      </c:scatterChart>
      <c:valAx>
        <c:axId val="12285849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2876672"/>
        <c:crosses val="autoZero"/>
        <c:crossBetween val="midCat"/>
        <c:majorUnit val="5"/>
      </c:valAx>
      <c:valAx>
        <c:axId val="122876672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285849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96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Invil.mod.y!$A$42:$A$45</c:f>
              <c:numCache>
                <c:formatCode>General</c:formatCode>
                <c:ptCount val="4"/>
                <c:pt idx="0" formatCode="0.00">
                  <c:v>28.6615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30.462499999999999</c:v>
                </c:pt>
              </c:numCache>
            </c:numRef>
          </c:xVal>
          <c:yVal>
            <c:numRef>
              <c:f>Invil.mod.y!$B$42:$B$45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Invil.mod.y!$E$42:$E$62</c:f>
              <c:numCache>
                <c:formatCode>0.00</c:formatCode>
                <c:ptCount val="21"/>
                <c:pt idx="0">
                  <c:v>28.6615</c:v>
                </c:pt>
                <c:pt idx="1">
                  <c:v>27.860749999999999</c:v>
                </c:pt>
                <c:pt idx="2">
                  <c:v>27.060000000000002</c:v>
                </c:pt>
                <c:pt idx="3">
                  <c:v>26.596250000000001</c:v>
                </c:pt>
                <c:pt idx="4">
                  <c:v>27.6525</c:v>
                </c:pt>
                <c:pt idx="5">
                  <c:v>27.796433753943219</c:v>
                </c:pt>
                <c:pt idx="6">
                  <c:v>29.014500000000002</c:v>
                </c:pt>
                <c:pt idx="7">
                  <c:v>29.738500000000002</c:v>
                </c:pt>
                <c:pt idx="8">
                  <c:v>30.462499999999999</c:v>
                </c:pt>
                <c:pt idx="9">
                  <c:v>30.462499999999999</c:v>
                </c:pt>
                <c:pt idx="10">
                  <c:v>30.462499999999999</c:v>
                </c:pt>
                <c:pt idx="11">
                  <c:v>30.462499999999999</c:v>
                </c:pt>
                <c:pt idx="12">
                  <c:v>30.462499999999999</c:v>
                </c:pt>
                <c:pt idx="13">
                  <c:v>30.462499999999999</c:v>
                </c:pt>
                <c:pt idx="14">
                  <c:v>30.462499999999999</c:v>
                </c:pt>
                <c:pt idx="15">
                  <c:v>30.462499999999999</c:v>
                </c:pt>
                <c:pt idx="16">
                  <c:v>30.462499999999999</c:v>
                </c:pt>
                <c:pt idx="17">
                  <c:v>30.462499999999999</c:v>
                </c:pt>
                <c:pt idx="18">
                  <c:v>30.462499999999999</c:v>
                </c:pt>
                <c:pt idx="19">
                  <c:v>30.462499999999999</c:v>
                </c:pt>
                <c:pt idx="20">
                  <c:v>30.462499999999999</c:v>
                </c:pt>
              </c:numCache>
            </c:numRef>
          </c:xVal>
          <c:yVal>
            <c:numRef>
              <c:f>Invil.mod.y!$F$42:$F$62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Invil.mod.y!$I$42:$I$62</c:f>
              <c:numCache>
                <c:formatCode>0.00</c:formatCode>
                <c:ptCount val="21"/>
                <c:pt idx="0">
                  <c:v>28.398500000000002</c:v>
                </c:pt>
                <c:pt idx="1">
                  <c:v>27.69125</c:v>
                </c:pt>
                <c:pt idx="2">
                  <c:v>26.984000000000002</c:v>
                </c:pt>
                <c:pt idx="3">
                  <c:v>26.549250000000001</c:v>
                </c:pt>
                <c:pt idx="4">
                  <c:v>27.482500000000002</c:v>
                </c:pt>
                <c:pt idx="5">
                  <c:v>27.609208201892745</c:v>
                </c:pt>
                <c:pt idx="6">
                  <c:v>28.6815</c:v>
                </c:pt>
                <c:pt idx="7">
                  <c:v>29.32</c:v>
                </c:pt>
                <c:pt idx="8">
                  <c:v>29.958500000000001</c:v>
                </c:pt>
                <c:pt idx="9">
                  <c:v>29.958500000000001</c:v>
                </c:pt>
                <c:pt idx="10">
                  <c:v>29.958500000000001</c:v>
                </c:pt>
                <c:pt idx="11">
                  <c:v>29.958500000000001</c:v>
                </c:pt>
                <c:pt idx="12">
                  <c:v>29.958500000000001</c:v>
                </c:pt>
                <c:pt idx="13">
                  <c:v>29.958500000000001</c:v>
                </c:pt>
                <c:pt idx="14">
                  <c:v>29.958500000000001</c:v>
                </c:pt>
                <c:pt idx="15">
                  <c:v>29.958500000000001</c:v>
                </c:pt>
                <c:pt idx="16">
                  <c:v>29.958500000000001</c:v>
                </c:pt>
                <c:pt idx="17">
                  <c:v>29.958500000000001</c:v>
                </c:pt>
                <c:pt idx="18">
                  <c:v>29.958500000000001</c:v>
                </c:pt>
                <c:pt idx="19">
                  <c:v>29.958500000000001</c:v>
                </c:pt>
                <c:pt idx="20">
                  <c:v>29.958500000000001</c:v>
                </c:pt>
              </c:numCache>
            </c:numRef>
          </c:xVal>
          <c:yVal>
            <c:numRef>
              <c:f>Invil.mod.y!$J$42:$J$62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Invil.mod.y!$M$42:$M$62</c:f>
              <c:numCache>
                <c:formatCode>0.00</c:formatCode>
                <c:ptCount val="21"/>
                <c:pt idx="0">
                  <c:v>27.990500000000001</c:v>
                </c:pt>
                <c:pt idx="1">
                  <c:v>27.424500000000002</c:v>
                </c:pt>
                <c:pt idx="2">
                  <c:v>26.858499999999999</c:v>
                </c:pt>
                <c:pt idx="3">
                  <c:v>26.489000000000001</c:v>
                </c:pt>
                <c:pt idx="4">
                  <c:v>27.236499999999999</c:v>
                </c:pt>
                <c:pt idx="5">
                  <c:v>27.337581230283913</c:v>
                </c:pt>
                <c:pt idx="6">
                  <c:v>28.193000000000001</c:v>
                </c:pt>
                <c:pt idx="7">
                  <c:v>28.702999999999999</c:v>
                </c:pt>
                <c:pt idx="8">
                  <c:v>29.213000000000001</c:v>
                </c:pt>
                <c:pt idx="9">
                  <c:v>29.213000000000001</c:v>
                </c:pt>
                <c:pt idx="10">
                  <c:v>29.213000000000001</c:v>
                </c:pt>
                <c:pt idx="11">
                  <c:v>29.213000000000001</c:v>
                </c:pt>
                <c:pt idx="12">
                  <c:v>29.213000000000001</c:v>
                </c:pt>
                <c:pt idx="13">
                  <c:v>29.213000000000001</c:v>
                </c:pt>
                <c:pt idx="14">
                  <c:v>29.213000000000001</c:v>
                </c:pt>
                <c:pt idx="15">
                  <c:v>29.213000000000001</c:v>
                </c:pt>
                <c:pt idx="16">
                  <c:v>29.213000000000001</c:v>
                </c:pt>
                <c:pt idx="17">
                  <c:v>29.213000000000001</c:v>
                </c:pt>
                <c:pt idx="18">
                  <c:v>29.213000000000001</c:v>
                </c:pt>
                <c:pt idx="19">
                  <c:v>29.213000000000001</c:v>
                </c:pt>
                <c:pt idx="20">
                  <c:v>29.213000000000001</c:v>
                </c:pt>
              </c:numCache>
            </c:numRef>
          </c:xVal>
          <c:yVal>
            <c:numRef>
              <c:f>Invil.mod.y!$N$42:$N$62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4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Invil.mod.y!$Q$42:$Q$62</c:f>
              <c:numCache>
                <c:formatCode>0.00</c:formatCode>
                <c:ptCount val="21"/>
                <c:pt idx="0">
                  <c:v>27.4435</c:v>
                </c:pt>
                <c:pt idx="1">
                  <c:v>27.06475</c:v>
                </c:pt>
                <c:pt idx="2">
                  <c:v>26.686</c:v>
                </c:pt>
                <c:pt idx="3">
                  <c:v>26.417249999999999</c:v>
                </c:pt>
                <c:pt idx="4">
                  <c:v>26.920500000000001</c:v>
                </c:pt>
                <c:pt idx="5">
                  <c:v>26.987922712933756</c:v>
                </c:pt>
                <c:pt idx="6">
                  <c:v>27.558500000000002</c:v>
                </c:pt>
                <c:pt idx="7">
                  <c:v>27.8995</c:v>
                </c:pt>
                <c:pt idx="8">
                  <c:v>28.240500000000001</c:v>
                </c:pt>
                <c:pt idx="9">
                  <c:v>28.240500000000001</c:v>
                </c:pt>
                <c:pt idx="10">
                  <c:v>28.240500000000001</c:v>
                </c:pt>
                <c:pt idx="11">
                  <c:v>28.240500000000001</c:v>
                </c:pt>
                <c:pt idx="12">
                  <c:v>28.240500000000001</c:v>
                </c:pt>
                <c:pt idx="13">
                  <c:v>28.240500000000001</c:v>
                </c:pt>
                <c:pt idx="14">
                  <c:v>28.240500000000001</c:v>
                </c:pt>
                <c:pt idx="15">
                  <c:v>28.240500000000001</c:v>
                </c:pt>
                <c:pt idx="16">
                  <c:v>28.240500000000001</c:v>
                </c:pt>
                <c:pt idx="17">
                  <c:v>28.240500000000001</c:v>
                </c:pt>
                <c:pt idx="18">
                  <c:v>28.240500000000001</c:v>
                </c:pt>
                <c:pt idx="19">
                  <c:v>28.240500000000001</c:v>
                </c:pt>
                <c:pt idx="20">
                  <c:v>28.240500000000001</c:v>
                </c:pt>
              </c:numCache>
            </c:numRef>
          </c:xVal>
          <c:yVal>
            <c:numRef>
              <c:f>Invil.mod.y!$R$42:$R$62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5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Invil.mod.y!$U$42:$U$62</c:f>
              <c:numCache>
                <c:formatCode>0.00</c:formatCode>
                <c:ptCount val="21"/>
                <c:pt idx="0">
                  <c:v>26.821000000000002</c:v>
                </c:pt>
                <c:pt idx="1">
                  <c:v>26.652000000000001</c:v>
                </c:pt>
                <c:pt idx="2">
                  <c:v>26.483000000000001</c:v>
                </c:pt>
                <c:pt idx="3">
                  <c:v>26.34525</c:v>
                </c:pt>
                <c:pt idx="4">
                  <c:v>26.573499999999999</c:v>
                </c:pt>
                <c:pt idx="5">
                  <c:v>26.603406940063092</c:v>
                </c:pt>
                <c:pt idx="6">
                  <c:v>26.8565</c:v>
                </c:pt>
                <c:pt idx="7">
                  <c:v>27.009</c:v>
                </c:pt>
                <c:pt idx="8">
                  <c:v>27.1615</c:v>
                </c:pt>
                <c:pt idx="9">
                  <c:v>27.1615</c:v>
                </c:pt>
                <c:pt idx="10">
                  <c:v>27.1615</c:v>
                </c:pt>
                <c:pt idx="11">
                  <c:v>27.1615</c:v>
                </c:pt>
                <c:pt idx="12">
                  <c:v>27.1615</c:v>
                </c:pt>
                <c:pt idx="13">
                  <c:v>27.1615</c:v>
                </c:pt>
                <c:pt idx="14">
                  <c:v>27.1615</c:v>
                </c:pt>
                <c:pt idx="15">
                  <c:v>27.1615</c:v>
                </c:pt>
                <c:pt idx="16">
                  <c:v>27.1615</c:v>
                </c:pt>
                <c:pt idx="17">
                  <c:v>27.1615</c:v>
                </c:pt>
                <c:pt idx="18">
                  <c:v>27.1615</c:v>
                </c:pt>
                <c:pt idx="19">
                  <c:v>27.1615</c:v>
                </c:pt>
                <c:pt idx="20">
                  <c:v>27.1615</c:v>
                </c:pt>
              </c:numCache>
            </c:numRef>
          </c:xVal>
          <c:yVal>
            <c:numRef>
              <c:f>Invil.mod.y!$V$42:$V$62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6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Invil.mod.y!$Y$42:$Y$62</c:f>
              <c:numCache>
                <c:formatCode>0.00</c:formatCode>
                <c:ptCount val="21"/>
                <c:pt idx="0">
                  <c:v>26.821000000000002</c:v>
                </c:pt>
                <c:pt idx="1">
                  <c:v>26.652000000000001</c:v>
                </c:pt>
                <c:pt idx="2">
                  <c:v>26.483000000000001</c:v>
                </c:pt>
                <c:pt idx="3">
                  <c:v>26.34525</c:v>
                </c:pt>
                <c:pt idx="4">
                  <c:v>26.573499999999999</c:v>
                </c:pt>
                <c:pt idx="5">
                  <c:v>26.603406940063092</c:v>
                </c:pt>
                <c:pt idx="6">
                  <c:v>26.8565</c:v>
                </c:pt>
                <c:pt idx="7">
                  <c:v>27.009</c:v>
                </c:pt>
                <c:pt idx="8">
                  <c:v>27.1615</c:v>
                </c:pt>
                <c:pt idx="9">
                  <c:v>27.1615</c:v>
                </c:pt>
                <c:pt idx="10">
                  <c:v>27.1615</c:v>
                </c:pt>
                <c:pt idx="11">
                  <c:v>27.1615</c:v>
                </c:pt>
                <c:pt idx="12">
                  <c:v>27.1615</c:v>
                </c:pt>
                <c:pt idx="13">
                  <c:v>27.1615</c:v>
                </c:pt>
                <c:pt idx="14">
                  <c:v>27.1615</c:v>
                </c:pt>
                <c:pt idx="15">
                  <c:v>27.1615</c:v>
                </c:pt>
                <c:pt idx="16">
                  <c:v>27.1615</c:v>
                </c:pt>
                <c:pt idx="17">
                  <c:v>27.1615</c:v>
                </c:pt>
                <c:pt idx="18">
                  <c:v>27.1615</c:v>
                </c:pt>
                <c:pt idx="19">
                  <c:v>27.1615</c:v>
                </c:pt>
                <c:pt idx="20">
                  <c:v>27.1615</c:v>
                </c:pt>
              </c:numCache>
            </c:numRef>
          </c:xVal>
          <c:yVal>
            <c:numRef>
              <c:f>Invil.mod.y!$Z$42:$Z$62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Invil.mod.y!$B$63:$B$66</c:f>
              <c:numCache>
                <c:formatCode>General</c:formatCode>
                <c:ptCount val="4"/>
                <c:pt idx="0" formatCode="0.00">
                  <c:v>23.683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28.849499999999999</c:v>
                </c:pt>
              </c:numCache>
            </c:numRef>
          </c:yVal>
        </c:ser>
        <c:ser>
          <c:idx val="8"/>
          <c:order val="9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Invil.mod.y!$F$64:$F$84</c:f>
              <c:numCache>
                <c:formatCode>0.00</c:formatCode>
                <c:ptCount val="21"/>
                <c:pt idx="0">
                  <c:v>23.683</c:v>
                </c:pt>
                <c:pt idx="1">
                  <c:v>23.721499999999999</c:v>
                </c:pt>
                <c:pt idx="2">
                  <c:v>23.759999999999998</c:v>
                </c:pt>
                <c:pt idx="3">
                  <c:v>24.082750000000001</c:v>
                </c:pt>
                <c:pt idx="4">
                  <c:v>24.4055</c:v>
                </c:pt>
                <c:pt idx="5">
                  <c:v>24.786999999999999</c:v>
                </c:pt>
                <c:pt idx="6">
                  <c:v>25.168500000000002</c:v>
                </c:pt>
                <c:pt idx="7">
                  <c:v>25.652749999999997</c:v>
                </c:pt>
                <c:pt idx="8">
                  <c:v>26.137</c:v>
                </c:pt>
                <c:pt idx="9">
                  <c:v>26.845749999999999</c:v>
                </c:pt>
                <c:pt idx="10">
                  <c:v>27.554500000000001</c:v>
                </c:pt>
                <c:pt idx="11">
                  <c:v>28.202000000000002</c:v>
                </c:pt>
                <c:pt idx="12">
                  <c:v>28.849499999999999</c:v>
                </c:pt>
                <c:pt idx="13">
                  <c:v>28.849499999999999</c:v>
                </c:pt>
                <c:pt idx="14">
                  <c:v>28.849499999999999</c:v>
                </c:pt>
                <c:pt idx="15">
                  <c:v>28.849499999999999</c:v>
                </c:pt>
                <c:pt idx="16">
                  <c:v>28.849499999999999</c:v>
                </c:pt>
                <c:pt idx="17">
                  <c:v>28.849499999999999</c:v>
                </c:pt>
                <c:pt idx="18">
                  <c:v>28.849499999999999</c:v>
                </c:pt>
                <c:pt idx="19">
                  <c:v>28.849499999999999</c:v>
                </c:pt>
                <c:pt idx="20">
                  <c:v>28.849499999999999</c:v>
                </c:pt>
              </c:numCache>
            </c:numRef>
          </c:yVal>
        </c:ser>
        <c:ser>
          <c:idx val="9"/>
          <c:order val="1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Invil.mod.y!$J$64:$J$84</c:f>
              <c:numCache>
                <c:formatCode>0.00</c:formatCode>
                <c:ptCount val="21"/>
                <c:pt idx="0">
                  <c:v>23.244</c:v>
                </c:pt>
                <c:pt idx="1">
                  <c:v>23.27225</c:v>
                </c:pt>
                <c:pt idx="2">
                  <c:v>23.3005</c:v>
                </c:pt>
                <c:pt idx="3">
                  <c:v>23.578250000000001</c:v>
                </c:pt>
                <c:pt idx="4">
                  <c:v>23.856000000000002</c:v>
                </c:pt>
                <c:pt idx="5">
                  <c:v>24.18825</c:v>
                </c:pt>
                <c:pt idx="6">
                  <c:v>24.520499999999998</c:v>
                </c:pt>
                <c:pt idx="7">
                  <c:v>24.943750000000001</c:v>
                </c:pt>
                <c:pt idx="8">
                  <c:v>25.367000000000001</c:v>
                </c:pt>
                <c:pt idx="9">
                  <c:v>25.988500000000002</c:v>
                </c:pt>
                <c:pt idx="10">
                  <c:v>26.61</c:v>
                </c:pt>
                <c:pt idx="11">
                  <c:v>27.178750000000001</c:v>
                </c:pt>
                <c:pt idx="12">
                  <c:v>27.747500000000002</c:v>
                </c:pt>
                <c:pt idx="13">
                  <c:v>27.747500000000002</c:v>
                </c:pt>
                <c:pt idx="14">
                  <c:v>27.747500000000002</c:v>
                </c:pt>
                <c:pt idx="15">
                  <c:v>27.747500000000002</c:v>
                </c:pt>
                <c:pt idx="16">
                  <c:v>27.747500000000002</c:v>
                </c:pt>
                <c:pt idx="17">
                  <c:v>27.747500000000002</c:v>
                </c:pt>
                <c:pt idx="18">
                  <c:v>27.747500000000002</c:v>
                </c:pt>
                <c:pt idx="19">
                  <c:v>27.747500000000002</c:v>
                </c:pt>
                <c:pt idx="20">
                  <c:v>27.747500000000002</c:v>
                </c:pt>
              </c:numCache>
            </c:numRef>
          </c:yVal>
        </c:ser>
        <c:ser>
          <c:idx val="11"/>
          <c:order val="11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Invil.mod.y!$N$64:$N$84</c:f>
              <c:numCache>
                <c:formatCode>0.00</c:formatCode>
                <c:ptCount val="21"/>
                <c:pt idx="0">
                  <c:v>22.55</c:v>
                </c:pt>
                <c:pt idx="1">
                  <c:v>22.566749999999999</c:v>
                </c:pt>
                <c:pt idx="2">
                  <c:v>22.583500000000001</c:v>
                </c:pt>
                <c:pt idx="3">
                  <c:v>22.798999999999999</c:v>
                </c:pt>
                <c:pt idx="4">
                  <c:v>23.014499999999998</c:v>
                </c:pt>
                <c:pt idx="5">
                  <c:v>23.27525</c:v>
                </c:pt>
                <c:pt idx="6">
                  <c:v>23.536000000000001</c:v>
                </c:pt>
                <c:pt idx="7">
                  <c:v>23.870249999999999</c:v>
                </c:pt>
                <c:pt idx="8">
                  <c:v>24.204499999999999</c:v>
                </c:pt>
                <c:pt idx="9">
                  <c:v>24.697499999999998</c:v>
                </c:pt>
                <c:pt idx="10">
                  <c:v>25.1905</c:v>
                </c:pt>
                <c:pt idx="11">
                  <c:v>25.642749999999999</c:v>
                </c:pt>
                <c:pt idx="12">
                  <c:v>26.094999999999999</c:v>
                </c:pt>
                <c:pt idx="13">
                  <c:v>26.094999999999999</c:v>
                </c:pt>
                <c:pt idx="14">
                  <c:v>26.094999999999999</c:v>
                </c:pt>
                <c:pt idx="15">
                  <c:v>26.094999999999999</c:v>
                </c:pt>
                <c:pt idx="16">
                  <c:v>26.094999999999999</c:v>
                </c:pt>
                <c:pt idx="17">
                  <c:v>26.094999999999999</c:v>
                </c:pt>
                <c:pt idx="18">
                  <c:v>26.094999999999999</c:v>
                </c:pt>
                <c:pt idx="19">
                  <c:v>26.094999999999999</c:v>
                </c:pt>
                <c:pt idx="20">
                  <c:v>26.094999999999999</c:v>
                </c:pt>
              </c:numCache>
            </c:numRef>
          </c:yVal>
        </c:ser>
        <c:ser>
          <c:idx val="12"/>
          <c:order val="1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Invil.mod.y!$Q$64:$Q$84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Invil.mod.y!$R$64:$R$84</c:f>
              <c:numCache>
                <c:formatCode>0.00</c:formatCode>
                <c:ptCount val="21"/>
                <c:pt idx="0">
                  <c:v>21.612000000000002</c:v>
                </c:pt>
                <c:pt idx="1">
                  <c:v>21.617000000000001</c:v>
                </c:pt>
                <c:pt idx="2">
                  <c:v>21.622</c:v>
                </c:pt>
                <c:pt idx="3">
                  <c:v>21.758749999999999</c:v>
                </c:pt>
                <c:pt idx="4">
                  <c:v>21.895499999999998</c:v>
                </c:pt>
                <c:pt idx="5">
                  <c:v>22.064250000000001</c:v>
                </c:pt>
                <c:pt idx="6">
                  <c:v>22.233000000000001</c:v>
                </c:pt>
                <c:pt idx="7">
                  <c:v>22.451999999999998</c:v>
                </c:pt>
                <c:pt idx="8">
                  <c:v>22.670999999999999</c:v>
                </c:pt>
                <c:pt idx="9">
                  <c:v>22.99625</c:v>
                </c:pt>
                <c:pt idx="10">
                  <c:v>23.3215</c:v>
                </c:pt>
                <c:pt idx="11">
                  <c:v>23.621500000000001</c:v>
                </c:pt>
                <c:pt idx="12">
                  <c:v>23.921500000000002</c:v>
                </c:pt>
                <c:pt idx="13">
                  <c:v>23.921500000000002</c:v>
                </c:pt>
                <c:pt idx="14">
                  <c:v>23.921500000000002</c:v>
                </c:pt>
                <c:pt idx="15">
                  <c:v>23.921500000000002</c:v>
                </c:pt>
                <c:pt idx="16">
                  <c:v>23.921500000000002</c:v>
                </c:pt>
                <c:pt idx="17">
                  <c:v>23.921500000000002</c:v>
                </c:pt>
                <c:pt idx="18">
                  <c:v>23.921500000000002</c:v>
                </c:pt>
                <c:pt idx="19">
                  <c:v>23.921500000000002</c:v>
                </c:pt>
                <c:pt idx="20">
                  <c:v>23.921500000000002</c:v>
                </c:pt>
              </c:numCache>
            </c:numRef>
          </c:yVal>
        </c:ser>
        <c:ser>
          <c:idx val="13"/>
          <c:order val="1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Invil.mod.y!$U$64:$U$84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Invil.mod.y!$V$64:$V$84</c:f>
              <c:numCache>
                <c:formatCode>0.00</c:formatCode>
                <c:ptCount val="21"/>
                <c:pt idx="0">
                  <c:v>20.517499999999998</c:v>
                </c:pt>
                <c:pt idx="1">
                  <c:v>20.513500000000001</c:v>
                </c:pt>
                <c:pt idx="2">
                  <c:v>20.509499999999999</c:v>
                </c:pt>
                <c:pt idx="3">
                  <c:v>20.56325</c:v>
                </c:pt>
                <c:pt idx="4">
                  <c:v>20.617000000000001</c:v>
                </c:pt>
                <c:pt idx="5">
                  <c:v>20.68675</c:v>
                </c:pt>
                <c:pt idx="6">
                  <c:v>20.756499999999999</c:v>
                </c:pt>
                <c:pt idx="7">
                  <c:v>20.849250000000001</c:v>
                </c:pt>
                <c:pt idx="8">
                  <c:v>20.942</c:v>
                </c:pt>
                <c:pt idx="9">
                  <c:v>21.0825</c:v>
                </c:pt>
                <c:pt idx="10">
                  <c:v>21.222999999999999</c:v>
                </c:pt>
                <c:pt idx="11">
                  <c:v>21.353999999999999</c:v>
                </c:pt>
                <c:pt idx="12">
                  <c:v>21.484999999999999</c:v>
                </c:pt>
                <c:pt idx="13">
                  <c:v>21.484999999999999</c:v>
                </c:pt>
                <c:pt idx="14">
                  <c:v>21.484999999999999</c:v>
                </c:pt>
                <c:pt idx="15">
                  <c:v>21.484999999999999</c:v>
                </c:pt>
                <c:pt idx="16">
                  <c:v>21.484999999999999</c:v>
                </c:pt>
                <c:pt idx="17">
                  <c:v>21.484999999999999</c:v>
                </c:pt>
                <c:pt idx="18">
                  <c:v>21.484999999999999</c:v>
                </c:pt>
                <c:pt idx="19">
                  <c:v>21.484999999999999</c:v>
                </c:pt>
                <c:pt idx="20">
                  <c:v>21.484999999999999</c:v>
                </c:pt>
              </c:numCache>
            </c:numRef>
          </c:yVal>
        </c:ser>
        <c:ser>
          <c:idx val="14"/>
          <c:order val="1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Invil.mod.y!$Y$64:$Y$84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Invil.mod.y!$Z$64:$Z$84</c:f>
              <c:numCache>
                <c:formatCode>0.00</c:formatCode>
                <c:ptCount val="21"/>
                <c:pt idx="0">
                  <c:v>20.517499999999998</c:v>
                </c:pt>
                <c:pt idx="1">
                  <c:v>20.513500000000001</c:v>
                </c:pt>
                <c:pt idx="2">
                  <c:v>20.509499999999999</c:v>
                </c:pt>
                <c:pt idx="3">
                  <c:v>20.56325</c:v>
                </c:pt>
                <c:pt idx="4">
                  <c:v>20.617000000000001</c:v>
                </c:pt>
                <c:pt idx="5">
                  <c:v>20.68675</c:v>
                </c:pt>
                <c:pt idx="6">
                  <c:v>20.756499999999999</c:v>
                </c:pt>
                <c:pt idx="7">
                  <c:v>20.849250000000001</c:v>
                </c:pt>
                <c:pt idx="8">
                  <c:v>20.942</c:v>
                </c:pt>
                <c:pt idx="9">
                  <c:v>21.0825</c:v>
                </c:pt>
                <c:pt idx="10">
                  <c:v>21.222999999999999</c:v>
                </c:pt>
                <c:pt idx="11">
                  <c:v>21.353999999999999</c:v>
                </c:pt>
                <c:pt idx="12">
                  <c:v>21.484999999999999</c:v>
                </c:pt>
                <c:pt idx="13">
                  <c:v>21.484999999999999</c:v>
                </c:pt>
                <c:pt idx="14">
                  <c:v>21.484999999999999</c:v>
                </c:pt>
                <c:pt idx="15">
                  <c:v>21.484999999999999</c:v>
                </c:pt>
                <c:pt idx="16">
                  <c:v>21.484999999999999</c:v>
                </c:pt>
                <c:pt idx="17">
                  <c:v>21.484999999999999</c:v>
                </c:pt>
                <c:pt idx="18">
                  <c:v>21.484999999999999</c:v>
                </c:pt>
                <c:pt idx="19">
                  <c:v>21.484999999999999</c:v>
                </c:pt>
                <c:pt idx="20">
                  <c:v>21.484999999999999</c:v>
                </c:pt>
              </c:numCache>
            </c:numRef>
          </c:yVal>
        </c:ser>
        <c:axId val="123075584"/>
        <c:axId val="123413248"/>
      </c:scatterChart>
      <c:valAx>
        <c:axId val="123075584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3413248"/>
        <c:crosses val="autoZero"/>
        <c:crossBetween val="midCat"/>
        <c:majorUnit val="5"/>
      </c:valAx>
      <c:valAx>
        <c:axId val="123413248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3075584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96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'Fx+M(Fx)'!$A$42:$A$45</c:f>
              <c:numCache>
                <c:formatCode>General</c:formatCode>
                <c:ptCount val="4"/>
                <c:pt idx="0" formatCode="0.00">
                  <c:v>33.161500000000004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33.171999999999997</c:v>
                </c:pt>
              </c:numCache>
            </c:numRef>
          </c:xVal>
          <c:yVal>
            <c:numRef>
              <c:f>'Fx+M(Fx)'!$B$42:$B$45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'Fx+M(Fx)'!$E$42:$E$62</c:f>
              <c:numCache>
                <c:formatCode>0.00</c:formatCode>
                <c:ptCount val="21"/>
                <c:pt idx="0">
                  <c:v>32.775500000000001</c:v>
                </c:pt>
                <c:pt idx="1">
                  <c:v>32.732750000000003</c:v>
                </c:pt>
                <c:pt idx="2">
                  <c:v>32.69</c:v>
                </c:pt>
                <c:pt idx="3">
                  <c:v>32.652250000000002</c:v>
                </c:pt>
                <c:pt idx="4">
                  <c:v>32.6145</c:v>
                </c:pt>
                <c:pt idx="5">
                  <c:v>32.608423501577285</c:v>
                </c:pt>
                <c:pt idx="6">
                  <c:v>32.557000000000002</c:v>
                </c:pt>
                <c:pt idx="7">
                  <c:v>32.529499999999999</c:v>
                </c:pt>
                <c:pt idx="8">
                  <c:v>32.502000000000002</c:v>
                </c:pt>
                <c:pt idx="9">
                  <c:v>32.502000000000002</c:v>
                </c:pt>
                <c:pt idx="10">
                  <c:v>32.502000000000002</c:v>
                </c:pt>
                <c:pt idx="11">
                  <c:v>32.502000000000002</c:v>
                </c:pt>
                <c:pt idx="12">
                  <c:v>32.502000000000002</c:v>
                </c:pt>
                <c:pt idx="13">
                  <c:v>32.502000000000002</c:v>
                </c:pt>
                <c:pt idx="14">
                  <c:v>32.502000000000002</c:v>
                </c:pt>
                <c:pt idx="15">
                  <c:v>32.502000000000002</c:v>
                </c:pt>
                <c:pt idx="16">
                  <c:v>32.502000000000002</c:v>
                </c:pt>
                <c:pt idx="17">
                  <c:v>32.502000000000002</c:v>
                </c:pt>
                <c:pt idx="18">
                  <c:v>32.502000000000002</c:v>
                </c:pt>
                <c:pt idx="19">
                  <c:v>32.502000000000002</c:v>
                </c:pt>
                <c:pt idx="20">
                  <c:v>32.502000000000002</c:v>
                </c:pt>
              </c:numCache>
            </c:numRef>
          </c:xVal>
          <c:yVal>
            <c:numRef>
              <c:f>'Fx+M(Fx)'!$F$42:$F$62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'Fx+M(Fx)'!$I$42:$I$62</c:f>
              <c:numCache>
                <c:formatCode>0.00</c:formatCode>
                <c:ptCount val="21"/>
                <c:pt idx="0">
                  <c:v>26.686</c:v>
                </c:pt>
                <c:pt idx="1">
                  <c:v>26.538</c:v>
                </c:pt>
                <c:pt idx="2">
                  <c:v>26.39</c:v>
                </c:pt>
                <c:pt idx="3">
                  <c:v>26.35125</c:v>
                </c:pt>
                <c:pt idx="4">
                  <c:v>26.4925</c:v>
                </c:pt>
                <c:pt idx="5">
                  <c:v>26.517387223974765</c:v>
                </c:pt>
                <c:pt idx="6">
                  <c:v>26.728000000000002</c:v>
                </c:pt>
                <c:pt idx="7">
                  <c:v>26.849</c:v>
                </c:pt>
                <c:pt idx="8">
                  <c:v>26.970000000000002</c:v>
                </c:pt>
                <c:pt idx="9">
                  <c:v>26.970000000000002</c:v>
                </c:pt>
                <c:pt idx="10">
                  <c:v>26.970000000000002</c:v>
                </c:pt>
                <c:pt idx="11">
                  <c:v>26.970000000000002</c:v>
                </c:pt>
                <c:pt idx="12">
                  <c:v>26.970000000000002</c:v>
                </c:pt>
                <c:pt idx="13">
                  <c:v>26.970000000000002</c:v>
                </c:pt>
                <c:pt idx="14">
                  <c:v>26.970000000000002</c:v>
                </c:pt>
                <c:pt idx="15">
                  <c:v>26.970000000000002</c:v>
                </c:pt>
                <c:pt idx="16">
                  <c:v>26.970000000000002</c:v>
                </c:pt>
                <c:pt idx="17">
                  <c:v>26.970000000000002</c:v>
                </c:pt>
                <c:pt idx="18">
                  <c:v>26.970000000000002</c:v>
                </c:pt>
                <c:pt idx="19">
                  <c:v>26.970000000000002</c:v>
                </c:pt>
                <c:pt idx="20">
                  <c:v>26.970000000000002</c:v>
                </c:pt>
              </c:numCache>
            </c:numRef>
          </c:xVal>
          <c:yVal>
            <c:numRef>
              <c:f>'Fx+M(Fx)'!$J$42:$J$62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'Fx+M(Fx)'!$M$42:$M$62</c:f>
              <c:numCache>
                <c:formatCode>0.00</c:formatCode>
                <c:ptCount val="21"/>
                <c:pt idx="0">
                  <c:v>33.161500000000004</c:v>
                </c:pt>
                <c:pt idx="1">
                  <c:v>32.970750000000002</c:v>
                </c:pt>
                <c:pt idx="2">
                  <c:v>32.78</c:v>
                </c:pt>
                <c:pt idx="3">
                  <c:v>32.703499999999998</c:v>
                </c:pt>
                <c:pt idx="4">
                  <c:v>32.807000000000002</c:v>
                </c:pt>
                <c:pt idx="5">
                  <c:v>32.825810725552053</c:v>
                </c:pt>
                <c:pt idx="6">
                  <c:v>32.984999999999999</c:v>
                </c:pt>
                <c:pt idx="7">
                  <c:v>33.078499999999998</c:v>
                </c:pt>
                <c:pt idx="8">
                  <c:v>33.171999999999997</c:v>
                </c:pt>
                <c:pt idx="9">
                  <c:v>33.171999999999997</c:v>
                </c:pt>
                <c:pt idx="10">
                  <c:v>33.171999999999997</c:v>
                </c:pt>
                <c:pt idx="11">
                  <c:v>33.171999999999997</c:v>
                </c:pt>
                <c:pt idx="12">
                  <c:v>33.171999999999997</c:v>
                </c:pt>
                <c:pt idx="13">
                  <c:v>33.171999999999997</c:v>
                </c:pt>
                <c:pt idx="14">
                  <c:v>33.171999999999997</c:v>
                </c:pt>
                <c:pt idx="15">
                  <c:v>33.171999999999997</c:v>
                </c:pt>
                <c:pt idx="16">
                  <c:v>33.171999999999997</c:v>
                </c:pt>
                <c:pt idx="17">
                  <c:v>33.171999999999997</c:v>
                </c:pt>
                <c:pt idx="18">
                  <c:v>33.171999999999997</c:v>
                </c:pt>
                <c:pt idx="19">
                  <c:v>33.171999999999997</c:v>
                </c:pt>
                <c:pt idx="20">
                  <c:v>33.171999999999997</c:v>
                </c:pt>
              </c:numCache>
            </c:numRef>
          </c:xVal>
          <c:yVal>
            <c:numRef>
              <c:f>'Fx+M(Fx)'!$N$42:$N$62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'Fx+M(Fx)'!$B$63:$B$66</c:f>
              <c:numCache>
                <c:formatCode>General</c:formatCode>
                <c:ptCount val="4"/>
                <c:pt idx="0" formatCode="0.00">
                  <c:v>20.678999999999998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21.4605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'Fx+M(Fx)'!$F$64:$F$84</c:f>
              <c:numCache>
                <c:formatCode>0.00</c:formatCode>
                <c:ptCount val="21"/>
                <c:pt idx="0">
                  <c:v>20.1265</c:v>
                </c:pt>
                <c:pt idx="1">
                  <c:v>20.09</c:v>
                </c:pt>
                <c:pt idx="2">
                  <c:v>20.0535</c:v>
                </c:pt>
                <c:pt idx="3">
                  <c:v>20.059000000000001</c:v>
                </c:pt>
                <c:pt idx="4">
                  <c:v>20.064499999999999</c:v>
                </c:pt>
                <c:pt idx="5">
                  <c:v>20.09075</c:v>
                </c:pt>
                <c:pt idx="6">
                  <c:v>20.117000000000001</c:v>
                </c:pt>
                <c:pt idx="7">
                  <c:v>20.161000000000001</c:v>
                </c:pt>
                <c:pt idx="8">
                  <c:v>20.204999999999998</c:v>
                </c:pt>
                <c:pt idx="9">
                  <c:v>20.279250000000001</c:v>
                </c:pt>
                <c:pt idx="10">
                  <c:v>20.3535</c:v>
                </c:pt>
                <c:pt idx="11">
                  <c:v>20.426500000000001</c:v>
                </c:pt>
                <c:pt idx="12">
                  <c:v>20.499500000000001</c:v>
                </c:pt>
                <c:pt idx="13">
                  <c:v>20.499500000000001</c:v>
                </c:pt>
                <c:pt idx="14">
                  <c:v>20.499500000000001</c:v>
                </c:pt>
                <c:pt idx="15">
                  <c:v>20.499500000000001</c:v>
                </c:pt>
                <c:pt idx="16">
                  <c:v>20.499500000000001</c:v>
                </c:pt>
                <c:pt idx="17">
                  <c:v>20.499500000000001</c:v>
                </c:pt>
                <c:pt idx="18">
                  <c:v>20.499500000000001</c:v>
                </c:pt>
                <c:pt idx="19">
                  <c:v>20.499500000000001</c:v>
                </c:pt>
                <c:pt idx="20">
                  <c:v>20.499500000000001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'Fx+M(Fx)'!$J$64:$J$84</c:f>
              <c:numCache>
                <c:formatCode>0.00</c:formatCode>
                <c:ptCount val="21"/>
                <c:pt idx="0">
                  <c:v>20.052499999999998</c:v>
                </c:pt>
                <c:pt idx="1">
                  <c:v>19.894500000000001</c:v>
                </c:pt>
                <c:pt idx="2">
                  <c:v>19.736499999999999</c:v>
                </c:pt>
                <c:pt idx="3">
                  <c:v>19.608499999999999</c:v>
                </c:pt>
                <c:pt idx="4">
                  <c:v>19.519500000000001</c:v>
                </c:pt>
                <c:pt idx="5">
                  <c:v>19.620249999999999</c:v>
                </c:pt>
                <c:pt idx="6">
                  <c:v>19.721</c:v>
                </c:pt>
                <c:pt idx="7">
                  <c:v>19.828749999999999</c:v>
                </c:pt>
                <c:pt idx="8">
                  <c:v>19.936499999999999</c:v>
                </c:pt>
                <c:pt idx="9">
                  <c:v>20.077750000000002</c:v>
                </c:pt>
                <c:pt idx="10">
                  <c:v>20.219000000000001</c:v>
                </c:pt>
                <c:pt idx="11">
                  <c:v>20.34</c:v>
                </c:pt>
                <c:pt idx="12">
                  <c:v>20.460999999999999</c:v>
                </c:pt>
                <c:pt idx="13">
                  <c:v>20.460999999999999</c:v>
                </c:pt>
                <c:pt idx="14">
                  <c:v>20.460999999999999</c:v>
                </c:pt>
                <c:pt idx="15">
                  <c:v>20.460999999999999</c:v>
                </c:pt>
                <c:pt idx="16">
                  <c:v>20.460999999999999</c:v>
                </c:pt>
                <c:pt idx="17">
                  <c:v>20.460999999999999</c:v>
                </c:pt>
                <c:pt idx="18">
                  <c:v>20.460999999999999</c:v>
                </c:pt>
                <c:pt idx="19">
                  <c:v>20.460999999999999</c:v>
                </c:pt>
                <c:pt idx="20">
                  <c:v>20.460999999999999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'Fx+M(Fx)'!$M$64:$M$84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'Fx+M(Fx)'!$N$64:$N$84</c:f>
              <c:numCache>
                <c:formatCode>0.00</c:formatCode>
                <c:ptCount val="21"/>
                <c:pt idx="0">
                  <c:v>20.678999999999998</c:v>
                </c:pt>
                <c:pt idx="1">
                  <c:v>20.484500000000001</c:v>
                </c:pt>
                <c:pt idx="2">
                  <c:v>20.29</c:v>
                </c:pt>
                <c:pt idx="3">
                  <c:v>20.1675</c:v>
                </c:pt>
                <c:pt idx="4">
                  <c:v>20.084</c:v>
                </c:pt>
                <c:pt idx="5">
                  <c:v>20.210999999999999</c:v>
                </c:pt>
                <c:pt idx="6">
                  <c:v>20.338000000000001</c:v>
                </c:pt>
                <c:pt idx="7">
                  <c:v>20.489750000000001</c:v>
                </c:pt>
                <c:pt idx="8">
                  <c:v>20.641500000000001</c:v>
                </c:pt>
                <c:pt idx="9">
                  <c:v>20.856999999999999</c:v>
                </c:pt>
                <c:pt idx="10">
                  <c:v>21.072500000000002</c:v>
                </c:pt>
                <c:pt idx="11">
                  <c:v>21.266500000000001</c:v>
                </c:pt>
                <c:pt idx="12">
                  <c:v>21.4605</c:v>
                </c:pt>
                <c:pt idx="13">
                  <c:v>21.4605</c:v>
                </c:pt>
                <c:pt idx="14">
                  <c:v>21.4605</c:v>
                </c:pt>
                <c:pt idx="15">
                  <c:v>21.4605</c:v>
                </c:pt>
                <c:pt idx="16">
                  <c:v>21.4605</c:v>
                </c:pt>
                <c:pt idx="17">
                  <c:v>21.4605</c:v>
                </c:pt>
                <c:pt idx="18">
                  <c:v>21.4605</c:v>
                </c:pt>
                <c:pt idx="19">
                  <c:v>21.4605</c:v>
                </c:pt>
                <c:pt idx="20">
                  <c:v>21.4605</c:v>
                </c:pt>
              </c:numCache>
            </c:numRef>
          </c:yVal>
        </c:ser>
        <c:axId val="123618816"/>
        <c:axId val="123620352"/>
      </c:scatterChart>
      <c:valAx>
        <c:axId val="12361881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3620352"/>
        <c:crosses val="autoZero"/>
        <c:crossBetween val="midCat"/>
        <c:majorUnit val="5"/>
      </c:valAx>
      <c:valAx>
        <c:axId val="123620352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361881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3.4174460334628745E-2"/>
          <c:y val="2.5185356732369241E-2"/>
          <c:w val="0.94477168074748064"/>
          <c:h val="0.94962940629273496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'Fy+M(Fy)'!$A$42:$A$45</c:f>
              <c:numCache>
                <c:formatCode>General</c:formatCode>
                <c:ptCount val="4"/>
                <c:pt idx="0" formatCode="0.00">
                  <c:v>29.229500000000002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31.448499999999999</c:v>
                </c:pt>
              </c:numCache>
            </c:numRef>
          </c:xVal>
          <c:yVal>
            <c:numRef>
              <c:f>'Fy+M(Fy)'!$B$42:$B$45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'Fy+M(Fy)'!$E$42:$E$62</c:f>
              <c:numCache>
                <c:formatCode>0.00</c:formatCode>
                <c:ptCount val="21"/>
                <c:pt idx="0">
                  <c:v>28.6615</c:v>
                </c:pt>
                <c:pt idx="1">
                  <c:v>27.860749999999999</c:v>
                </c:pt>
                <c:pt idx="2">
                  <c:v>27.060000000000002</c:v>
                </c:pt>
                <c:pt idx="3">
                  <c:v>26.596250000000001</c:v>
                </c:pt>
                <c:pt idx="4">
                  <c:v>27.6525</c:v>
                </c:pt>
                <c:pt idx="5">
                  <c:v>27.796433753943219</c:v>
                </c:pt>
                <c:pt idx="6">
                  <c:v>29.014500000000002</c:v>
                </c:pt>
                <c:pt idx="7">
                  <c:v>29.738500000000002</c:v>
                </c:pt>
                <c:pt idx="8">
                  <c:v>30.462499999999999</c:v>
                </c:pt>
                <c:pt idx="9">
                  <c:v>30.462499999999999</c:v>
                </c:pt>
                <c:pt idx="10">
                  <c:v>30.462499999999999</c:v>
                </c:pt>
                <c:pt idx="11">
                  <c:v>30.462499999999999</c:v>
                </c:pt>
                <c:pt idx="12">
                  <c:v>30.462499999999999</c:v>
                </c:pt>
                <c:pt idx="13">
                  <c:v>30.462499999999999</c:v>
                </c:pt>
                <c:pt idx="14">
                  <c:v>30.462499999999999</c:v>
                </c:pt>
                <c:pt idx="15">
                  <c:v>30.462499999999999</c:v>
                </c:pt>
                <c:pt idx="16">
                  <c:v>30.462499999999999</c:v>
                </c:pt>
                <c:pt idx="17">
                  <c:v>30.462499999999999</c:v>
                </c:pt>
                <c:pt idx="18">
                  <c:v>30.462499999999999</c:v>
                </c:pt>
                <c:pt idx="19">
                  <c:v>30.462499999999999</c:v>
                </c:pt>
                <c:pt idx="20">
                  <c:v>30.462499999999999</c:v>
                </c:pt>
              </c:numCache>
            </c:numRef>
          </c:xVal>
          <c:yVal>
            <c:numRef>
              <c:f>'Fy+M(Fy)'!$F$42:$F$62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'Fy+M(Fy)'!$I$42:$I$62</c:f>
              <c:numCache>
                <c:formatCode>0.00</c:formatCode>
                <c:ptCount val="21"/>
                <c:pt idx="0">
                  <c:v>26.868000000000002</c:v>
                </c:pt>
                <c:pt idx="1">
                  <c:v>26.65025</c:v>
                </c:pt>
                <c:pt idx="2">
                  <c:v>26.432500000000001</c:v>
                </c:pt>
                <c:pt idx="3">
                  <c:v>26.375500000000002</c:v>
                </c:pt>
                <c:pt idx="4">
                  <c:v>26.583500000000001</c:v>
                </c:pt>
                <c:pt idx="5">
                  <c:v>26.620064668769718</c:v>
                </c:pt>
                <c:pt idx="6">
                  <c:v>26.929500000000001</c:v>
                </c:pt>
                <c:pt idx="7">
                  <c:v>27.107749999999999</c:v>
                </c:pt>
                <c:pt idx="8">
                  <c:v>27.286000000000001</c:v>
                </c:pt>
                <c:pt idx="9">
                  <c:v>27.286000000000001</c:v>
                </c:pt>
                <c:pt idx="10">
                  <c:v>27.286000000000001</c:v>
                </c:pt>
                <c:pt idx="11">
                  <c:v>27.286000000000001</c:v>
                </c:pt>
                <c:pt idx="12">
                  <c:v>27.286000000000001</c:v>
                </c:pt>
                <c:pt idx="13">
                  <c:v>27.286000000000001</c:v>
                </c:pt>
                <c:pt idx="14">
                  <c:v>27.286000000000001</c:v>
                </c:pt>
                <c:pt idx="15">
                  <c:v>27.286000000000001</c:v>
                </c:pt>
                <c:pt idx="16">
                  <c:v>27.286000000000001</c:v>
                </c:pt>
                <c:pt idx="17">
                  <c:v>27.286000000000001</c:v>
                </c:pt>
                <c:pt idx="18">
                  <c:v>27.286000000000001</c:v>
                </c:pt>
                <c:pt idx="19">
                  <c:v>27.286000000000001</c:v>
                </c:pt>
                <c:pt idx="20">
                  <c:v>27.286000000000001</c:v>
                </c:pt>
              </c:numCache>
            </c:numRef>
          </c:xVal>
          <c:yVal>
            <c:numRef>
              <c:f>'Fy+M(Fy)'!$J$42:$J$62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'Fy+M(Fy)'!$M$42:$M$62</c:f>
              <c:numCache>
                <c:formatCode>0.00</c:formatCode>
                <c:ptCount val="21"/>
                <c:pt idx="0">
                  <c:v>29.229500000000002</c:v>
                </c:pt>
                <c:pt idx="1">
                  <c:v>28.210999999999999</c:v>
                </c:pt>
                <c:pt idx="2">
                  <c:v>27.192500000000003</c:v>
                </c:pt>
                <c:pt idx="3">
                  <c:v>26.671749999999999</c:v>
                </c:pt>
                <c:pt idx="4">
                  <c:v>27.936</c:v>
                </c:pt>
                <c:pt idx="5">
                  <c:v>28.116498422712933</c:v>
                </c:pt>
                <c:pt idx="6">
                  <c:v>29.644000000000002</c:v>
                </c:pt>
                <c:pt idx="7">
                  <c:v>30.546250000000001</c:v>
                </c:pt>
                <c:pt idx="8">
                  <c:v>31.448499999999999</c:v>
                </c:pt>
                <c:pt idx="9">
                  <c:v>31.448499999999999</c:v>
                </c:pt>
                <c:pt idx="10">
                  <c:v>31.448499999999999</c:v>
                </c:pt>
                <c:pt idx="11">
                  <c:v>31.448499999999999</c:v>
                </c:pt>
                <c:pt idx="12">
                  <c:v>31.448499999999999</c:v>
                </c:pt>
                <c:pt idx="13">
                  <c:v>31.448499999999999</c:v>
                </c:pt>
                <c:pt idx="14">
                  <c:v>31.448499999999999</c:v>
                </c:pt>
                <c:pt idx="15">
                  <c:v>31.448499999999999</c:v>
                </c:pt>
                <c:pt idx="16">
                  <c:v>31.448499999999999</c:v>
                </c:pt>
                <c:pt idx="17">
                  <c:v>31.448499999999999</c:v>
                </c:pt>
                <c:pt idx="18">
                  <c:v>31.448499999999999</c:v>
                </c:pt>
                <c:pt idx="19">
                  <c:v>31.448499999999999</c:v>
                </c:pt>
                <c:pt idx="20">
                  <c:v>31.448499999999999</c:v>
                </c:pt>
              </c:numCache>
            </c:numRef>
          </c:xVal>
          <c:yVal>
            <c:numRef>
              <c:f>'Fy+M(Fy)'!$N$42:$N$62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'Fy+M(Fy)'!$B$63:$B$66</c:f>
              <c:numCache>
                <c:formatCode>General</c:formatCode>
                <c:ptCount val="4"/>
                <c:pt idx="0" formatCode="0.00">
                  <c:v>24.495999999999999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30.263500000000001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'Fy+M(Fy)'!$F$64:$F$84</c:f>
              <c:numCache>
                <c:formatCode>0.00</c:formatCode>
                <c:ptCount val="21"/>
                <c:pt idx="0">
                  <c:v>23.683</c:v>
                </c:pt>
                <c:pt idx="1">
                  <c:v>23.721499999999999</c:v>
                </c:pt>
                <c:pt idx="2">
                  <c:v>23.759999999999998</c:v>
                </c:pt>
                <c:pt idx="3">
                  <c:v>24.082750000000001</c:v>
                </c:pt>
                <c:pt idx="4">
                  <c:v>24.4055</c:v>
                </c:pt>
                <c:pt idx="5">
                  <c:v>24.786999999999999</c:v>
                </c:pt>
                <c:pt idx="6">
                  <c:v>25.168500000000002</c:v>
                </c:pt>
                <c:pt idx="7">
                  <c:v>25.652749999999997</c:v>
                </c:pt>
                <c:pt idx="8">
                  <c:v>26.137</c:v>
                </c:pt>
                <c:pt idx="9">
                  <c:v>26.845749999999999</c:v>
                </c:pt>
                <c:pt idx="10">
                  <c:v>27.554500000000001</c:v>
                </c:pt>
                <c:pt idx="11">
                  <c:v>28.202000000000002</c:v>
                </c:pt>
                <c:pt idx="12">
                  <c:v>28.849499999999999</c:v>
                </c:pt>
                <c:pt idx="13">
                  <c:v>28.849499999999999</c:v>
                </c:pt>
                <c:pt idx="14">
                  <c:v>28.849499999999999</c:v>
                </c:pt>
                <c:pt idx="15">
                  <c:v>28.849499999999999</c:v>
                </c:pt>
                <c:pt idx="16">
                  <c:v>28.849499999999999</c:v>
                </c:pt>
                <c:pt idx="17">
                  <c:v>28.849499999999999</c:v>
                </c:pt>
                <c:pt idx="18">
                  <c:v>28.849499999999999</c:v>
                </c:pt>
                <c:pt idx="19">
                  <c:v>28.849499999999999</c:v>
                </c:pt>
                <c:pt idx="20">
                  <c:v>28.849499999999999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'Fy+M(Fy)'!$J$64:$J$84</c:f>
              <c:numCache>
                <c:formatCode>0.00</c:formatCode>
                <c:ptCount val="21"/>
                <c:pt idx="0">
                  <c:v>20.312999999999999</c:v>
                </c:pt>
                <c:pt idx="1">
                  <c:v>20.080249999999999</c:v>
                </c:pt>
                <c:pt idx="2">
                  <c:v>19.8475</c:v>
                </c:pt>
                <c:pt idx="3">
                  <c:v>19.659500000000001</c:v>
                </c:pt>
                <c:pt idx="4">
                  <c:v>19.528500000000001</c:v>
                </c:pt>
                <c:pt idx="5">
                  <c:v>19.676749999999998</c:v>
                </c:pt>
                <c:pt idx="6">
                  <c:v>19.824999999999999</c:v>
                </c:pt>
                <c:pt idx="7">
                  <c:v>19.983499999999999</c:v>
                </c:pt>
                <c:pt idx="8">
                  <c:v>20.141999999999999</c:v>
                </c:pt>
                <c:pt idx="9">
                  <c:v>20.34975</c:v>
                </c:pt>
                <c:pt idx="10">
                  <c:v>20.557500000000001</c:v>
                </c:pt>
                <c:pt idx="11">
                  <c:v>20.735749999999999</c:v>
                </c:pt>
                <c:pt idx="12">
                  <c:v>20.914000000000001</c:v>
                </c:pt>
                <c:pt idx="13">
                  <c:v>20.914000000000001</c:v>
                </c:pt>
                <c:pt idx="14">
                  <c:v>20.914000000000001</c:v>
                </c:pt>
                <c:pt idx="15">
                  <c:v>20.914000000000001</c:v>
                </c:pt>
                <c:pt idx="16">
                  <c:v>20.914000000000001</c:v>
                </c:pt>
                <c:pt idx="17">
                  <c:v>20.914000000000001</c:v>
                </c:pt>
                <c:pt idx="18">
                  <c:v>20.914000000000001</c:v>
                </c:pt>
                <c:pt idx="19">
                  <c:v>20.914000000000001</c:v>
                </c:pt>
                <c:pt idx="20">
                  <c:v>20.914000000000001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'Fy+M(Fy)'!$M$64:$M$84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'Fy+M(Fy)'!$N$64:$N$84</c:f>
              <c:numCache>
                <c:formatCode>0.00</c:formatCode>
                <c:ptCount val="21"/>
                <c:pt idx="0">
                  <c:v>24.495999999999999</c:v>
                </c:pt>
                <c:pt idx="1">
                  <c:v>24.301749999999998</c:v>
                </c:pt>
                <c:pt idx="2">
                  <c:v>24.107500000000002</c:v>
                </c:pt>
                <c:pt idx="3">
                  <c:v>24.242249999999999</c:v>
                </c:pt>
                <c:pt idx="4">
                  <c:v>24.434000000000001</c:v>
                </c:pt>
                <c:pt idx="5">
                  <c:v>24.963750000000001</c:v>
                </c:pt>
                <c:pt idx="6">
                  <c:v>25.493500000000001</c:v>
                </c:pt>
                <c:pt idx="7">
                  <c:v>26.13625</c:v>
                </c:pt>
                <c:pt idx="8">
                  <c:v>26.779</c:v>
                </c:pt>
                <c:pt idx="9">
                  <c:v>27.695499999999999</c:v>
                </c:pt>
                <c:pt idx="10">
                  <c:v>28.612000000000002</c:v>
                </c:pt>
                <c:pt idx="11">
                  <c:v>29.437750000000001</c:v>
                </c:pt>
                <c:pt idx="12">
                  <c:v>30.263500000000001</c:v>
                </c:pt>
                <c:pt idx="13">
                  <c:v>30.263500000000001</c:v>
                </c:pt>
                <c:pt idx="14">
                  <c:v>30.263500000000001</c:v>
                </c:pt>
                <c:pt idx="15">
                  <c:v>30.263500000000001</c:v>
                </c:pt>
                <c:pt idx="16">
                  <c:v>30.263500000000001</c:v>
                </c:pt>
                <c:pt idx="17">
                  <c:v>30.263500000000001</c:v>
                </c:pt>
                <c:pt idx="18">
                  <c:v>30.263500000000001</c:v>
                </c:pt>
                <c:pt idx="19">
                  <c:v>30.263500000000001</c:v>
                </c:pt>
                <c:pt idx="20">
                  <c:v>30.263500000000001</c:v>
                </c:pt>
              </c:numCache>
            </c:numRef>
          </c:yVal>
        </c:ser>
        <c:axId val="123707776"/>
        <c:axId val="123709312"/>
      </c:scatterChart>
      <c:valAx>
        <c:axId val="12370777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3709312"/>
        <c:crosses val="autoZero"/>
        <c:crossBetween val="midCat"/>
        <c:majorUnit val="5"/>
      </c:valAx>
      <c:valAx>
        <c:axId val="123709312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370777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96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Prev.x!$A$42:$A$45</c:f>
              <c:numCache>
                <c:formatCode>General</c:formatCode>
                <c:ptCount val="4"/>
                <c:pt idx="0" formatCode="0.00">
                  <c:v>34.040350000000004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34.716549999999998</c:v>
                </c:pt>
              </c:numCache>
            </c:numRef>
          </c:xVal>
          <c:yVal>
            <c:numRef>
              <c:f>Prev.x!$B$42:$B$45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Prev.x!$E$42:$E$62</c:f>
              <c:numCache>
                <c:formatCode>0.00</c:formatCode>
                <c:ptCount val="21"/>
                <c:pt idx="0">
                  <c:v>33.161500000000004</c:v>
                </c:pt>
                <c:pt idx="1">
                  <c:v>32.970750000000002</c:v>
                </c:pt>
                <c:pt idx="2">
                  <c:v>32.78</c:v>
                </c:pt>
                <c:pt idx="3">
                  <c:v>32.703499999999998</c:v>
                </c:pt>
                <c:pt idx="4">
                  <c:v>32.807000000000002</c:v>
                </c:pt>
                <c:pt idx="5">
                  <c:v>32.825810725552053</c:v>
                </c:pt>
                <c:pt idx="6">
                  <c:v>32.984999999999999</c:v>
                </c:pt>
                <c:pt idx="7">
                  <c:v>33.078499999999998</c:v>
                </c:pt>
                <c:pt idx="8">
                  <c:v>33.171999999999997</c:v>
                </c:pt>
                <c:pt idx="9">
                  <c:v>33.171999999999997</c:v>
                </c:pt>
                <c:pt idx="10">
                  <c:v>33.171999999999997</c:v>
                </c:pt>
                <c:pt idx="11">
                  <c:v>33.171999999999997</c:v>
                </c:pt>
                <c:pt idx="12">
                  <c:v>33.171999999999997</c:v>
                </c:pt>
                <c:pt idx="13">
                  <c:v>33.171999999999997</c:v>
                </c:pt>
                <c:pt idx="14">
                  <c:v>33.171999999999997</c:v>
                </c:pt>
                <c:pt idx="15">
                  <c:v>33.171999999999997</c:v>
                </c:pt>
                <c:pt idx="16">
                  <c:v>33.171999999999997</c:v>
                </c:pt>
                <c:pt idx="17">
                  <c:v>33.171999999999997</c:v>
                </c:pt>
                <c:pt idx="18">
                  <c:v>33.171999999999997</c:v>
                </c:pt>
                <c:pt idx="19">
                  <c:v>33.171999999999997</c:v>
                </c:pt>
                <c:pt idx="20">
                  <c:v>33.171999999999997</c:v>
                </c:pt>
              </c:numCache>
            </c:numRef>
          </c:xVal>
          <c:yVal>
            <c:numRef>
              <c:f>Prev.x!$F$42:$F$62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Prev.x!$I$42:$I$62</c:f>
              <c:numCache>
                <c:formatCode>0.00</c:formatCode>
                <c:ptCount val="21"/>
                <c:pt idx="0">
                  <c:v>27.178850000000001</c:v>
                </c:pt>
                <c:pt idx="1">
                  <c:v>26.8733</c:v>
                </c:pt>
                <c:pt idx="2">
                  <c:v>26.56775</c:v>
                </c:pt>
                <c:pt idx="3">
                  <c:v>26.411525000000001</c:v>
                </c:pt>
                <c:pt idx="4">
                  <c:v>26.790800000000001</c:v>
                </c:pt>
                <c:pt idx="5">
                  <c:v>26.844949526813881</c:v>
                </c:pt>
                <c:pt idx="6">
                  <c:v>27.3032</c:v>
                </c:pt>
                <c:pt idx="7">
                  <c:v>27.573875000000001</c:v>
                </c:pt>
                <c:pt idx="8">
                  <c:v>27.844550000000002</c:v>
                </c:pt>
                <c:pt idx="9">
                  <c:v>27.844550000000002</c:v>
                </c:pt>
                <c:pt idx="10">
                  <c:v>27.844550000000002</c:v>
                </c:pt>
                <c:pt idx="11">
                  <c:v>27.844550000000002</c:v>
                </c:pt>
                <c:pt idx="12">
                  <c:v>27.844550000000002</c:v>
                </c:pt>
                <c:pt idx="13">
                  <c:v>27.844550000000002</c:v>
                </c:pt>
                <c:pt idx="14">
                  <c:v>27.844550000000002</c:v>
                </c:pt>
                <c:pt idx="15">
                  <c:v>27.844550000000002</c:v>
                </c:pt>
                <c:pt idx="16">
                  <c:v>27.844550000000002</c:v>
                </c:pt>
                <c:pt idx="17">
                  <c:v>27.844550000000002</c:v>
                </c:pt>
                <c:pt idx="18">
                  <c:v>27.844550000000002</c:v>
                </c:pt>
                <c:pt idx="19">
                  <c:v>27.844550000000002</c:v>
                </c:pt>
                <c:pt idx="20">
                  <c:v>27.844550000000002</c:v>
                </c:pt>
              </c:numCache>
            </c:numRef>
          </c:xVal>
          <c:yVal>
            <c:numRef>
              <c:f>Prev.x!$J$42:$J$62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Prev.x!$M$42:$M$62</c:f>
              <c:numCache>
                <c:formatCode>0.00</c:formatCode>
                <c:ptCount val="21"/>
                <c:pt idx="0">
                  <c:v>34.040350000000004</c:v>
                </c:pt>
                <c:pt idx="1">
                  <c:v>33.544049999999999</c:v>
                </c:pt>
                <c:pt idx="2">
                  <c:v>33.047750000000001</c:v>
                </c:pt>
                <c:pt idx="3">
                  <c:v>32.815024999999999</c:v>
                </c:pt>
                <c:pt idx="4">
                  <c:v>33.297800000000002</c:v>
                </c:pt>
                <c:pt idx="5">
                  <c:v>33.370760252365933</c:v>
                </c:pt>
                <c:pt idx="6">
                  <c:v>33.988199999999999</c:v>
                </c:pt>
                <c:pt idx="7">
                  <c:v>34.352375000000002</c:v>
                </c:pt>
                <c:pt idx="8">
                  <c:v>34.716549999999998</c:v>
                </c:pt>
                <c:pt idx="9">
                  <c:v>34.716549999999998</c:v>
                </c:pt>
                <c:pt idx="10">
                  <c:v>34.716549999999998</c:v>
                </c:pt>
                <c:pt idx="11">
                  <c:v>34.716549999999998</c:v>
                </c:pt>
                <c:pt idx="12">
                  <c:v>34.716549999999998</c:v>
                </c:pt>
                <c:pt idx="13">
                  <c:v>34.716549999999998</c:v>
                </c:pt>
                <c:pt idx="14">
                  <c:v>34.716549999999998</c:v>
                </c:pt>
                <c:pt idx="15">
                  <c:v>34.716549999999998</c:v>
                </c:pt>
                <c:pt idx="16">
                  <c:v>34.716549999999998</c:v>
                </c:pt>
                <c:pt idx="17">
                  <c:v>34.716549999999998</c:v>
                </c:pt>
                <c:pt idx="18">
                  <c:v>34.716549999999998</c:v>
                </c:pt>
                <c:pt idx="19">
                  <c:v>34.716549999999998</c:v>
                </c:pt>
                <c:pt idx="20">
                  <c:v>34.716549999999998</c:v>
                </c:pt>
              </c:numCache>
            </c:numRef>
          </c:xVal>
          <c:yVal>
            <c:numRef>
              <c:f>Prev.x!$N$42:$N$62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Prev.x!$B$63:$B$66</c:f>
              <c:numCache>
                <c:formatCode>General</c:formatCode>
                <c:ptCount val="4"/>
                <c:pt idx="0" formatCode="0.00">
                  <c:v>22.177799999999998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24.689550000000001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Prev.x!$F$64:$F$84</c:f>
              <c:numCache>
                <c:formatCode>0.00</c:formatCode>
                <c:ptCount val="21"/>
                <c:pt idx="0">
                  <c:v>20.678999999999998</c:v>
                </c:pt>
                <c:pt idx="1">
                  <c:v>20.484500000000001</c:v>
                </c:pt>
                <c:pt idx="2">
                  <c:v>20.29</c:v>
                </c:pt>
                <c:pt idx="3">
                  <c:v>20.1675</c:v>
                </c:pt>
                <c:pt idx="4">
                  <c:v>20.084</c:v>
                </c:pt>
                <c:pt idx="5">
                  <c:v>20.210999999999999</c:v>
                </c:pt>
                <c:pt idx="6">
                  <c:v>20.338000000000001</c:v>
                </c:pt>
                <c:pt idx="7">
                  <c:v>20.489750000000001</c:v>
                </c:pt>
                <c:pt idx="8">
                  <c:v>20.641500000000001</c:v>
                </c:pt>
                <c:pt idx="9">
                  <c:v>20.856999999999999</c:v>
                </c:pt>
                <c:pt idx="10">
                  <c:v>21.072500000000002</c:v>
                </c:pt>
                <c:pt idx="11">
                  <c:v>21.266500000000001</c:v>
                </c:pt>
                <c:pt idx="12">
                  <c:v>21.4605</c:v>
                </c:pt>
                <c:pt idx="13">
                  <c:v>21.4605</c:v>
                </c:pt>
                <c:pt idx="14">
                  <c:v>21.4605</c:v>
                </c:pt>
                <c:pt idx="15">
                  <c:v>21.4605</c:v>
                </c:pt>
                <c:pt idx="16">
                  <c:v>21.4605</c:v>
                </c:pt>
                <c:pt idx="17">
                  <c:v>21.4605</c:v>
                </c:pt>
                <c:pt idx="18">
                  <c:v>21.4605</c:v>
                </c:pt>
                <c:pt idx="19">
                  <c:v>21.4605</c:v>
                </c:pt>
                <c:pt idx="20">
                  <c:v>21.4605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Prev.x!$J$64:$J$84</c:f>
              <c:numCache>
                <c:formatCode>0.00</c:formatCode>
                <c:ptCount val="21"/>
                <c:pt idx="0">
                  <c:v>20.998799999999999</c:v>
                </c:pt>
                <c:pt idx="1">
                  <c:v>20.940525000000001</c:v>
                </c:pt>
                <c:pt idx="2">
                  <c:v>20.882249999999999</c:v>
                </c:pt>
                <c:pt idx="3">
                  <c:v>20.922675000000002</c:v>
                </c:pt>
                <c:pt idx="4">
                  <c:v>20.9802</c:v>
                </c:pt>
                <c:pt idx="5">
                  <c:v>21.139125</c:v>
                </c:pt>
                <c:pt idx="6">
                  <c:v>21.29805</c:v>
                </c:pt>
                <c:pt idx="7">
                  <c:v>21.490874999999999</c:v>
                </c:pt>
                <c:pt idx="8">
                  <c:v>21.683700000000002</c:v>
                </c:pt>
                <c:pt idx="9">
                  <c:v>21.958649999999999</c:v>
                </c:pt>
                <c:pt idx="10">
                  <c:v>22.233599999999999</c:v>
                </c:pt>
                <c:pt idx="11">
                  <c:v>22.481325000000002</c:v>
                </c:pt>
                <c:pt idx="12">
                  <c:v>22.729050000000001</c:v>
                </c:pt>
                <c:pt idx="13">
                  <c:v>22.729050000000001</c:v>
                </c:pt>
                <c:pt idx="14">
                  <c:v>22.729050000000001</c:v>
                </c:pt>
                <c:pt idx="15">
                  <c:v>22.729050000000001</c:v>
                </c:pt>
                <c:pt idx="16">
                  <c:v>22.729050000000001</c:v>
                </c:pt>
                <c:pt idx="17">
                  <c:v>22.729050000000001</c:v>
                </c:pt>
                <c:pt idx="18">
                  <c:v>22.729050000000001</c:v>
                </c:pt>
                <c:pt idx="19">
                  <c:v>22.729050000000001</c:v>
                </c:pt>
                <c:pt idx="20">
                  <c:v>22.729050000000001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Prev.x!$M$64:$M$84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Prev.x!$N$64:$N$84</c:f>
              <c:numCache>
                <c:formatCode>0.00</c:formatCode>
                <c:ptCount val="21"/>
                <c:pt idx="0">
                  <c:v>22.177799999999998</c:v>
                </c:pt>
                <c:pt idx="1">
                  <c:v>21.925024999999998</c:v>
                </c:pt>
                <c:pt idx="2">
                  <c:v>21.672249999999998</c:v>
                </c:pt>
                <c:pt idx="3">
                  <c:v>21.590175000000002</c:v>
                </c:pt>
                <c:pt idx="4">
                  <c:v>21.5642</c:v>
                </c:pt>
                <c:pt idx="5">
                  <c:v>21.850124999999998</c:v>
                </c:pt>
                <c:pt idx="6">
                  <c:v>22.136050000000001</c:v>
                </c:pt>
                <c:pt idx="7">
                  <c:v>22.480625</c:v>
                </c:pt>
                <c:pt idx="8">
                  <c:v>22.825199999999999</c:v>
                </c:pt>
                <c:pt idx="9">
                  <c:v>23.315649999999998</c:v>
                </c:pt>
                <c:pt idx="10">
                  <c:v>23.806100000000001</c:v>
                </c:pt>
                <c:pt idx="11">
                  <c:v>24.247824999999999</c:v>
                </c:pt>
                <c:pt idx="12">
                  <c:v>24.689550000000001</c:v>
                </c:pt>
                <c:pt idx="13">
                  <c:v>24.689550000000001</c:v>
                </c:pt>
                <c:pt idx="14">
                  <c:v>24.689550000000001</c:v>
                </c:pt>
                <c:pt idx="15">
                  <c:v>24.689550000000001</c:v>
                </c:pt>
                <c:pt idx="16">
                  <c:v>24.689550000000001</c:v>
                </c:pt>
                <c:pt idx="17">
                  <c:v>24.689550000000001</c:v>
                </c:pt>
                <c:pt idx="18">
                  <c:v>24.689550000000001</c:v>
                </c:pt>
                <c:pt idx="19">
                  <c:v>24.689550000000001</c:v>
                </c:pt>
                <c:pt idx="20">
                  <c:v>24.689550000000001</c:v>
                </c:pt>
              </c:numCache>
            </c:numRef>
          </c:yVal>
        </c:ser>
        <c:axId val="123805056"/>
        <c:axId val="123823232"/>
      </c:scatterChart>
      <c:valAx>
        <c:axId val="123805056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3823232"/>
        <c:crosses val="autoZero"/>
        <c:crossBetween val="midCat"/>
        <c:majorUnit val="5"/>
      </c:valAx>
      <c:valAx>
        <c:axId val="123823232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380505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2.8496608201771488E-2"/>
          <c:y val="2.518529685363299E-2"/>
          <c:w val="0.94477168074748064"/>
          <c:h val="0.94962940629273496"/>
        </c:manualLayout>
      </c:layout>
      <c:scatterChart>
        <c:scatterStyle val="lineMarker"/>
        <c:ser>
          <c:idx val="10"/>
          <c:order val="0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Elab!$B$128:$N$128</c:f>
              <c:numCache>
                <c:formatCode>0.00</c:formatCode>
                <c:ptCount val="13"/>
                <c:pt idx="0">
                  <c:v>0</c:v>
                </c:pt>
                <c:pt idx="1">
                  <c:v>22.8</c:v>
                </c:pt>
                <c:pt idx="2">
                  <c:v>22.8</c:v>
                </c:pt>
                <c:pt idx="3">
                  <c:v>8.8000000000000007</c:v>
                </c:pt>
                <c:pt idx="4">
                  <c:v>8.8000000000000007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Elab!$B$129:$N$129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8.9</c:v>
                </c:pt>
                <c:pt idx="3">
                  <c:v>8.9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</c:ser>
        <c:ser>
          <c:idx val="0"/>
          <c:order val="1"/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Prev.y!$A$42:$A$45</c:f>
              <c:numCache>
                <c:formatCode>General</c:formatCode>
                <c:ptCount val="4"/>
                <c:pt idx="0" formatCode="0.00">
                  <c:v>31.287950000000002</c:v>
                </c:pt>
                <c:pt idx="1">
                  <c:v>26.3</c:v>
                </c:pt>
                <c:pt idx="2">
                  <c:v>26.3</c:v>
                </c:pt>
                <c:pt idx="3" formatCode="0.00">
                  <c:v>33.510100000000001</c:v>
                </c:pt>
              </c:numCache>
            </c:numRef>
          </c:xVal>
          <c:yVal>
            <c:numRef>
              <c:f>Prev.y!$B$42:$B$45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15.85</c:v>
                </c:pt>
                <c:pt idx="3">
                  <c:v>15.85</c:v>
                </c:pt>
              </c:numCache>
            </c:numRef>
          </c:yVal>
        </c:ser>
        <c:ser>
          <c:idx val="1"/>
          <c:order val="2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Prev.y!$E$42:$E$62</c:f>
              <c:numCache>
                <c:formatCode>0.00</c:formatCode>
                <c:ptCount val="21"/>
                <c:pt idx="0">
                  <c:v>29.229500000000002</c:v>
                </c:pt>
                <c:pt idx="1">
                  <c:v>28.210999999999999</c:v>
                </c:pt>
                <c:pt idx="2">
                  <c:v>27.192500000000003</c:v>
                </c:pt>
                <c:pt idx="3">
                  <c:v>26.671749999999999</c:v>
                </c:pt>
                <c:pt idx="4">
                  <c:v>27.936</c:v>
                </c:pt>
                <c:pt idx="5">
                  <c:v>28.116498422712933</c:v>
                </c:pt>
                <c:pt idx="6">
                  <c:v>29.644000000000002</c:v>
                </c:pt>
                <c:pt idx="7">
                  <c:v>30.546250000000001</c:v>
                </c:pt>
                <c:pt idx="8">
                  <c:v>31.448499999999999</c:v>
                </c:pt>
                <c:pt idx="9">
                  <c:v>31.448499999999999</c:v>
                </c:pt>
                <c:pt idx="10">
                  <c:v>31.448499999999999</c:v>
                </c:pt>
                <c:pt idx="11">
                  <c:v>31.448499999999999</c:v>
                </c:pt>
                <c:pt idx="12">
                  <c:v>31.448499999999999</c:v>
                </c:pt>
                <c:pt idx="13">
                  <c:v>31.448499999999999</c:v>
                </c:pt>
                <c:pt idx="14">
                  <c:v>31.448499999999999</c:v>
                </c:pt>
                <c:pt idx="15">
                  <c:v>31.448499999999999</c:v>
                </c:pt>
                <c:pt idx="16">
                  <c:v>31.448499999999999</c:v>
                </c:pt>
                <c:pt idx="17">
                  <c:v>31.448499999999999</c:v>
                </c:pt>
                <c:pt idx="18">
                  <c:v>31.448499999999999</c:v>
                </c:pt>
                <c:pt idx="19">
                  <c:v>31.448499999999999</c:v>
                </c:pt>
                <c:pt idx="20">
                  <c:v>31.448499999999999</c:v>
                </c:pt>
              </c:numCache>
            </c:numRef>
          </c:xVal>
          <c:yVal>
            <c:numRef>
              <c:f>Prev.y!$F$42:$F$62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2"/>
          <c:order val="3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Prev.y!$I$42:$I$62</c:f>
              <c:numCache>
                <c:formatCode>0.00</c:formatCode>
                <c:ptCount val="21"/>
                <c:pt idx="0">
                  <c:v>28.358450000000001</c:v>
                </c:pt>
                <c:pt idx="1">
                  <c:v>28.301225000000002</c:v>
                </c:pt>
                <c:pt idx="2">
                  <c:v>28.244</c:v>
                </c:pt>
                <c:pt idx="3">
                  <c:v>28.221050000000002</c:v>
                </c:pt>
                <c:pt idx="4">
                  <c:v>28.252099999999999</c:v>
                </c:pt>
                <c:pt idx="5">
                  <c:v>28.257743217665617</c:v>
                </c:pt>
                <c:pt idx="6">
                  <c:v>28.305500000000002</c:v>
                </c:pt>
                <c:pt idx="7">
                  <c:v>28.333550000000002</c:v>
                </c:pt>
                <c:pt idx="8">
                  <c:v>28.361599999999999</c:v>
                </c:pt>
                <c:pt idx="9">
                  <c:v>28.361599999999999</c:v>
                </c:pt>
                <c:pt idx="10">
                  <c:v>28.361599999999999</c:v>
                </c:pt>
                <c:pt idx="11">
                  <c:v>28.361599999999999</c:v>
                </c:pt>
                <c:pt idx="12">
                  <c:v>28.361599999999999</c:v>
                </c:pt>
                <c:pt idx="13">
                  <c:v>28.361599999999999</c:v>
                </c:pt>
                <c:pt idx="14">
                  <c:v>28.361599999999999</c:v>
                </c:pt>
                <c:pt idx="15">
                  <c:v>28.361599999999999</c:v>
                </c:pt>
                <c:pt idx="16">
                  <c:v>28.361599999999999</c:v>
                </c:pt>
                <c:pt idx="17">
                  <c:v>28.361599999999999</c:v>
                </c:pt>
                <c:pt idx="18">
                  <c:v>28.361599999999999</c:v>
                </c:pt>
                <c:pt idx="19">
                  <c:v>28.361599999999999</c:v>
                </c:pt>
                <c:pt idx="20">
                  <c:v>28.361599999999999</c:v>
                </c:pt>
              </c:numCache>
            </c:numRef>
          </c:xVal>
          <c:yVal>
            <c:numRef>
              <c:f>Prev.y!$J$42:$J$62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3"/>
          <c:order val="4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Prev.y!$M$42:$M$62</c:f>
              <c:numCache>
                <c:formatCode>0.00</c:formatCode>
                <c:ptCount val="21"/>
                <c:pt idx="0">
                  <c:v>31.287950000000002</c:v>
                </c:pt>
                <c:pt idx="1">
                  <c:v>30.212225</c:v>
                </c:pt>
                <c:pt idx="2">
                  <c:v>29.136500000000002</c:v>
                </c:pt>
                <c:pt idx="3">
                  <c:v>28.5928</c:v>
                </c:pt>
                <c:pt idx="4">
                  <c:v>29.888100000000001</c:v>
                </c:pt>
                <c:pt idx="5">
                  <c:v>30.074241640378549</c:v>
                </c:pt>
                <c:pt idx="6">
                  <c:v>31.6495</c:v>
                </c:pt>
                <c:pt idx="7">
                  <c:v>32.579799999999999</c:v>
                </c:pt>
                <c:pt idx="8">
                  <c:v>33.510100000000001</c:v>
                </c:pt>
                <c:pt idx="9">
                  <c:v>33.510100000000001</c:v>
                </c:pt>
                <c:pt idx="10">
                  <c:v>33.510100000000001</c:v>
                </c:pt>
                <c:pt idx="11">
                  <c:v>33.510100000000001</c:v>
                </c:pt>
                <c:pt idx="12">
                  <c:v>33.510100000000001</c:v>
                </c:pt>
                <c:pt idx="13">
                  <c:v>33.510100000000001</c:v>
                </c:pt>
                <c:pt idx="14">
                  <c:v>33.510100000000001</c:v>
                </c:pt>
                <c:pt idx="15">
                  <c:v>33.510100000000001</c:v>
                </c:pt>
                <c:pt idx="16">
                  <c:v>33.510100000000001</c:v>
                </c:pt>
                <c:pt idx="17">
                  <c:v>33.510100000000001</c:v>
                </c:pt>
                <c:pt idx="18">
                  <c:v>33.510100000000001</c:v>
                </c:pt>
                <c:pt idx="19">
                  <c:v>33.510100000000001</c:v>
                </c:pt>
                <c:pt idx="20">
                  <c:v>33.510100000000001</c:v>
                </c:pt>
              </c:numCache>
            </c:numRef>
          </c:xVal>
          <c:yVal>
            <c:numRef>
              <c:f>Prev.y!$N$42:$N$62</c:f>
              <c:numCache>
                <c:formatCode>0.00</c:formatCode>
                <c:ptCount val="21"/>
                <c:pt idx="0">
                  <c:v>0.15</c:v>
                </c:pt>
                <c:pt idx="1">
                  <c:v>2.35</c:v>
                </c:pt>
                <c:pt idx="2">
                  <c:v>4.55</c:v>
                </c:pt>
                <c:pt idx="3">
                  <c:v>6.65</c:v>
                </c:pt>
                <c:pt idx="4">
                  <c:v>8.75</c:v>
                </c:pt>
                <c:pt idx="5">
                  <c:v>9.1198738170346996</c:v>
                </c:pt>
                <c:pt idx="6">
                  <c:v>12.25</c:v>
                </c:pt>
                <c:pt idx="7">
                  <c:v>14.05</c:v>
                </c:pt>
                <c:pt idx="8">
                  <c:v>15.85</c:v>
                </c:pt>
                <c:pt idx="9">
                  <c:v>15.85</c:v>
                </c:pt>
                <c:pt idx="10">
                  <c:v>15.85</c:v>
                </c:pt>
                <c:pt idx="11">
                  <c:v>15.85</c:v>
                </c:pt>
                <c:pt idx="12">
                  <c:v>15.85</c:v>
                </c:pt>
                <c:pt idx="13">
                  <c:v>15.85</c:v>
                </c:pt>
                <c:pt idx="14">
                  <c:v>15.85</c:v>
                </c:pt>
                <c:pt idx="15">
                  <c:v>15.85</c:v>
                </c:pt>
                <c:pt idx="16">
                  <c:v>15.85</c:v>
                </c:pt>
                <c:pt idx="17">
                  <c:v>15.85</c:v>
                </c:pt>
                <c:pt idx="18">
                  <c:v>15.85</c:v>
                </c:pt>
                <c:pt idx="19">
                  <c:v>15.85</c:v>
                </c:pt>
                <c:pt idx="20">
                  <c:v>15.85</c:v>
                </c:pt>
              </c:numCache>
            </c:numRef>
          </c:yVal>
        </c:ser>
        <c:ser>
          <c:idx val="7"/>
          <c:order val="5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Prev.y!$A$63:$A$66</c:f>
              <c:numCache>
                <c:formatCode>0.00</c:formatCode>
                <c:ptCount val="4"/>
                <c:pt idx="0">
                  <c:v>0.15</c:v>
                </c:pt>
                <c:pt idx="1">
                  <c:v>0.15</c:v>
                </c:pt>
                <c:pt idx="2">
                  <c:v>22.65</c:v>
                </c:pt>
                <c:pt idx="3">
                  <c:v>22.65</c:v>
                </c:pt>
              </c:numCache>
            </c:numRef>
          </c:xVal>
          <c:yVal>
            <c:numRef>
              <c:f>Prev.y!$B$63:$B$66</c:f>
              <c:numCache>
                <c:formatCode>General</c:formatCode>
                <c:ptCount val="4"/>
                <c:pt idx="0" formatCode="0.00">
                  <c:v>24.849699999999999</c:v>
                </c:pt>
                <c:pt idx="1">
                  <c:v>19.5</c:v>
                </c:pt>
                <c:pt idx="2">
                  <c:v>19.5</c:v>
                </c:pt>
                <c:pt idx="3" formatCode="0.00">
                  <c:v>30.851649999999999</c:v>
                </c:pt>
              </c:numCache>
            </c:numRef>
          </c:yVal>
        </c:ser>
        <c:ser>
          <c:idx val="8"/>
          <c:order val="6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Prev.y!$E$64:$E$84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Prev.y!$F$64:$F$84</c:f>
              <c:numCache>
                <c:formatCode>0.00</c:formatCode>
                <c:ptCount val="21"/>
                <c:pt idx="0">
                  <c:v>24.495999999999999</c:v>
                </c:pt>
                <c:pt idx="1">
                  <c:v>24.301749999999998</c:v>
                </c:pt>
                <c:pt idx="2">
                  <c:v>24.107500000000002</c:v>
                </c:pt>
                <c:pt idx="3">
                  <c:v>24.242249999999999</c:v>
                </c:pt>
                <c:pt idx="4">
                  <c:v>24.434000000000001</c:v>
                </c:pt>
                <c:pt idx="5">
                  <c:v>24.963750000000001</c:v>
                </c:pt>
                <c:pt idx="6">
                  <c:v>25.493500000000001</c:v>
                </c:pt>
                <c:pt idx="7">
                  <c:v>26.13625</c:v>
                </c:pt>
                <c:pt idx="8">
                  <c:v>26.779</c:v>
                </c:pt>
                <c:pt idx="9">
                  <c:v>27.695499999999999</c:v>
                </c:pt>
                <c:pt idx="10">
                  <c:v>28.612000000000002</c:v>
                </c:pt>
                <c:pt idx="11">
                  <c:v>29.437750000000001</c:v>
                </c:pt>
                <c:pt idx="12">
                  <c:v>30.263500000000001</c:v>
                </c:pt>
                <c:pt idx="13">
                  <c:v>30.263500000000001</c:v>
                </c:pt>
                <c:pt idx="14">
                  <c:v>30.263500000000001</c:v>
                </c:pt>
                <c:pt idx="15">
                  <c:v>30.263500000000001</c:v>
                </c:pt>
                <c:pt idx="16">
                  <c:v>30.263500000000001</c:v>
                </c:pt>
                <c:pt idx="17">
                  <c:v>30.263500000000001</c:v>
                </c:pt>
                <c:pt idx="18">
                  <c:v>30.263500000000001</c:v>
                </c:pt>
                <c:pt idx="19">
                  <c:v>30.263500000000001</c:v>
                </c:pt>
                <c:pt idx="20">
                  <c:v>30.263500000000001</c:v>
                </c:pt>
              </c:numCache>
            </c:numRef>
          </c:yVal>
        </c:ser>
        <c:ser>
          <c:idx val="9"/>
          <c:order val="7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Prev.y!$I$64:$I$84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Prev.y!$J$64:$J$84</c:f>
              <c:numCache>
                <c:formatCode>0.00</c:formatCode>
                <c:ptCount val="21"/>
                <c:pt idx="0">
                  <c:v>19.8537</c:v>
                </c:pt>
                <c:pt idx="1">
                  <c:v>19.795349999999999</c:v>
                </c:pt>
                <c:pt idx="2">
                  <c:v>19.736999999999998</c:v>
                </c:pt>
                <c:pt idx="3">
                  <c:v>19.70025</c:v>
                </c:pt>
                <c:pt idx="4">
                  <c:v>19.6752</c:v>
                </c:pt>
                <c:pt idx="5">
                  <c:v>19.7133</c:v>
                </c:pt>
                <c:pt idx="6">
                  <c:v>19.7514</c:v>
                </c:pt>
                <c:pt idx="7">
                  <c:v>19.796925000000002</c:v>
                </c:pt>
                <c:pt idx="8">
                  <c:v>19.842449999999999</c:v>
                </c:pt>
                <c:pt idx="9">
                  <c:v>19.9071</c:v>
                </c:pt>
                <c:pt idx="10">
                  <c:v>19.97175</c:v>
                </c:pt>
                <c:pt idx="11">
                  <c:v>20.029949999999999</c:v>
                </c:pt>
                <c:pt idx="12">
                  <c:v>20.088149999999999</c:v>
                </c:pt>
                <c:pt idx="13">
                  <c:v>20.088149999999999</c:v>
                </c:pt>
                <c:pt idx="14">
                  <c:v>20.088149999999999</c:v>
                </c:pt>
                <c:pt idx="15">
                  <c:v>20.088149999999999</c:v>
                </c:pt>
                <c:pt idx="16">
                  <c:v>20.088149999999999</c:v>
                </c:pt>
                <c:pt idx="17">
                  <c:v>20.088149999999999</c:v>
                </c:pt>
                <c:pt idx="18">
                  <c:v>20.088149999999999</c:v>
                </c:pt>
                <c:pt idx="19">
                  <c:v>20.088149999999999</c:v>
                </c:pt>
                <c:pt idx="20">
                  <c:v>20.088149999999999</c:v>
                </c:pt>
              </c:numCache>
            </c:numRef>
          </c:yVal>
        </c:ser>
        <c:ser>
          <c:idx val="11"/>
          <c:order val="8"/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Prev.y!$M$64:$M$84</c:f>
              <c:numCache>
                <c:formatCode>0.00</c:formatCode>
                <c:ptCount val="21"/>
                <c:pt idx="0">
                  <c:v>0.15</c:v>
                </c:pt>
                <c:pt idx="1">
                  <c:v>2.5</c:v>
                </c:pt>
                <c:pt idx="2">
                  <c:v>4.8499999999999996</c:v>
                </c:pt>
                <c:pt idx="3">
                  <c:v>6.75</c:v>
                </c:pt>
                <c:pt idx="4">
                  <c:v>8.65</c:v>
                </c:pt>
                <c:pt idx="5">
                  <c:v>10.15</c:v>
                </c:pt>
                <c:pt idx="6">
                  <c:v>11.65</c:v>
                </c:pt>
                <c:pt idx="7">
                  <c:v>13.25</c:v>
                </c:pt>
                <c:pt idx="8">
                  <c:v>14.85</c:v>
                </c:pt>
                <c:pt idx="9">
                  <c:v>16.95</c:v>
                </c:pt>
                <c:pt idx="10">
                  <c:v>19.05</c:v>
                </c:pt>
                <c:pt idx="11">
                  <c:v>20.85</c:v>
                </c:pt>
                <c:pt idx="12">
                  <c:v>22.65</c:v>
                </c:pt>
                <c:pt idx="13">
                  <c:v>22.65</c:v>
                </c:pt>
                <c:pt idx="14">
                  <c:v>22.65</c:v>
                </c:pt>
                <c:pt idx="15">
                  <c:v>22.65</c:v>
                </c:pt>
                <c:pt idx="16">
                  <c:v>22.65</c:v>
                </c:pt>
                <c:pt idx="17">
                  <c:v>22.65</c:v>
                </c:pt>
                <c:pt idx="18">
                  <c:v>22.65</c:v>
                </c:pt>
                <c:pt idx="19">
                  <c:v>22.65</c:v>
                </c:pt>
                <c:pt idx="20">
                  <c:v>22.65</c:v>
                </c:pt>
              </c:numCache>
            </c:numRef>
          </c:xVal>
          <c:yVal>
            <c:numRef>
              <c:f>Prev.y!$N$64:$N$84</c:f>
              <c:numCache>
                <c:formatCode>0.00</c:formatCode>
                <c:ptCount val="21"/>
                <c:pt idx="0">
                  <c:v>24.849699999999999</c:v>
                </c:pt>
                <c:pt idx="1">
                  <c:v>24.597100000000001</c:v>
                </c:pt>
                <c:pt idx="2">
                  <c:v>24.3445</c:v>
                </c:pt>
                <c:pt idx="3">
                  <c:v>24.442499999999999</c:v>
                </c:pt>
                <c:pt idx="4">
                  <c:v>24.609200000000001</c:v>
                </c:pt>
                <c:pt idx="5">
                  <c:v>25.177050000000001</c:v>
                </c:pt>
                <c:pt idx="6">
                  <c:v>25.744900000000001</c:v>
                </c:pt>
                <c:pt idx="7">
                  <c:v>26.433174999999999</c:v>
                </c:pt>
                <c:pt idx="8">
                  <c:v>27.121449999999999</c:v>
                </c:pt>
                <c:pt idx="9">
                  <c:v>28.102599999999999</c:v>
                </c:pt>
                <c:pt idx="10">
                  <c:v>29.083750000000002</c:v>
                </c:pt>
                <c:pt idx="11">
                  <c:v>29.967700000000001</c:v>
                </c:pt>
                <c:pt idx="12">
                  <c:v>30.851649999999999</c:v>
                </c:pt>
                <c:pt idx="13">
                  <c:v>30.851649999999999</c:v>
                </c:pt>
                <c:pt idx="14">
                  <c:v>30.851649999999999</c:v>
                </c:pt>
                <c:pt idx="15">
                  <c:v>30.851649999999999</c:v>
                </c:pt>
                <c:pt idx="16">
                  <c:v>30.851649999999999</c:v>
                </c:pt>
                <c:pt idx="17">
                  <c:v>30.851649999999999</c:v>
                </c:pt>
                <c:pt idx="18">
                  <c:v>30.851649999999999</c:v>
                </c:pt>
                <c:pt idx="19">
                  <c:v>30.851649999999999</c:v>
                </c:pt>
                <c:pt idx="20">
                  <c:v>30.851649999999999</c:v>
                </c:pt>
              </c:numCache>
            </c:numRef>
          </c:yVal>
        </c:ser>
        <c:axId val="126044800"/>
        <c:axId val="126050688"/>
      </c:scatterChart>
      <c:valAx>
        <c:axId val="126044800"/>
        <c:scaling>
          <c:orientation val="minMax"/>
          <c:max val="35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6050688"/>
        <c:crosses val="autoZero"/>
        <c:crossBetween val="midCat"/>
        <c:majorUnit val="5"/>
      </c:valAx>
      <c:valAx>
        <c:axId val="126050688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6044800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0</xdr:row>
      <xdr:rowOff>0</xdr:rowOff>
    </xdr:from>
    <xdr:to>
      <xdr:col>15</xdr:col>
      <xdr:colOff>1</xdr:colOff>
      <xdr:row>32</xdr:row>
      <xdr:rowOff>66675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223838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10</xdr:col>
      <xdr:colOff>233363</xdr:colOff>
      <xdr:row>38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workbookViewId="0">
      <selection activeCell="A2" sqref="A2"/>
    </sheetView>
  </sheetViews>
  <sheetFormatPr defaultColWidth="9.140625" defaultRowHeight="15"/>
  <cols>
    <col min="1" max="16384" width="9.140625" style="26"/>
  </cols>
  <sheetData>
    <row r="1" spans="1:5">
      <c r="A1" s="26" t="s">
        <v>122</v>
      </c>
      <c r="C1" s="26" t="s">
        <v>145</v>
      </c>
      <c r="E1" s="52">
        <v>42980</v>
      </c>
    </row>
    <row r="3" spans="1:5">
      <c r="A3" s="26" t="s">
        <v>68</v>
      </c>
    </row>
    <row r="4" spans="1:5">
      <c r="A4" s="26" t="s">
        <v>87</v>
      </c>
    </row>
    <row r="5" spans="1:5">
      <c r="A5" s="26" t="s">
        <v>88</v>
      </c>
    </row>
    <row r="6" spans="1:5">
      <c r="A6" s="26" t="s">
        <v>92</v>
      </c>
    </row>
    <row r="8" spans="1:5">
      <c r="A8" s="26" t="s">
        <v>63</v>
      </c>
    </row>
    <row r="9" spans="1:5">
      <c r="A9" s="26" t="s">
        <v>64</v>
      </c>
    </row>
    <row r="10" spans="1:5">
      <c r="A10" s="26" t="s">
        <v>89</v>
      </c>
    </row>
    <row r="12" spans="1:5">
      <c r="A12" s="26" t="s">
        <v>90</v>
      </c>
    </row>
    <row r="13" spans="1:5">
      <c r="B13" s="26" t="s">
        <v>65</v>
      </c>
    </row>
    <row r="14" spans="1:5">
      <c r="B14" s="26" t="s">
        <v>143</v>
      </c>
    </row>
    <row r="15" spans="1:5">
      <c r="B15" s="26" t="s">
        <v>66</v>
      </c>
    </row>
    <row r="16" spans="1:5">
      <c r="B16" s="26" t="s">
        <v>144</v>
      </c>
    </row>
    <row r="17" spans="1:2">
      <c r="B17" s="26" t="s">
        <v>67</v>
      </c>
    </row>
    <row r="18" spans="1:2">
      <c r="B18" s="26" t="s">
        <v>123</v>
      </c>
    </row>
    <row r="20" spans="1:2">
      <c r="A20" s="26" t="s">
        <v>124</v>
      </c>
    </row>
    <row r="21" spans="1:2">
      <c r="B21" s="26" t="s">
        <v>125</v>
      </c>
    </row>
    <row r="23" spans="1:2">
      <c r="A23" s="26" t="s">
        <v>126</v>
      </c>
    </row>
    <row r="24" spans="1:2">
      <c r="B24" s="26" t="s">
        <v>147</v>
      </c>
    </row>
    <row r="26" spans="1:2">
      <c r="A26" s="26" t="s">
        <v>127</v>
      </c>
    </row>
    <row r="28" spans="1:2">
      <c r="A28" s="26" t="s">
        <v>128</v>
      </c>
    </row>
    <row r="30" spans="1:2">
      <c r="A30" s="26" t="s">
        <v>70</v>
      </c>
    </row>
    <row r="31" spans="1:2">
      <c r="A31" s="26" t="s">
        <v>91</v>
      </c>
    </row>
    <row r="33" spans="1:2">
      <c r="A33" s="26" t="s">
        <v>129</v>
      </c>
    </row>
    <row r="34" spans="1:2">
      <c r="B34" s="26" t="s">
        <v>69</v>
      </c>
    </row>
    <row r="35" spans="1:2">
      <c r="B35" s="26" t="s">
        <v>130</v>
      </c>
    </row>
    <row r="37" spans="1:2">
      <c r="A37" s="26" t="s">
        <v>146</v>
      </c>
    </row>
  </sheetData>
  <sheetProtection sheet="1" objects="1" scenarios="1" selectLockedCell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110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7</v>
      </c>
      <c r="H40" s="6" t="str">
        <f>D40</f>
        <v>piano 5</v>
      </c>
      <c r="I40" s="6" t="s">
        <v>140</v>
      </c>
      <c r="L40" s="6" t="str">
        <f>H40</f>
        <v>piano 5</v>
      </c>
      <c r="M40" s="6" t="s">
        <v>139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34.040350000000004</v>
      </c>
      <c r="B42" s="3">
        <f>MIN(F42:F62,J42:J62,N42:N62,R42:R62,V42:V62,Z42:Z62)</f>
        <v>0.15</v>
      </c>
      <c r="D42" s="3">
        <f>IF('Fx+M(Fx)'!L42="","",'Fx+M(Fx)'!L42)</f>
        <v>13.723000000000001</v>
      </c>
      <c r="E42" s="3">
        <f t="shared" ref="E42:E62" si="0">IF(D42="",E41,$A$43+D42*$E$1)</f>
        <v>33.161500000000004</v>
      </c>
      <c r="F42" s="3">
        <f>IF(D42="",F41,Telai!D33)</f>
        <v>0.15</v>
      </c>
      <c r="H42" s="3">
        <f>IF('Fy+M(Fy)'!L42="","",0.3*'Fy+M(Fy)'!L42)</f>
        <v>1.7577</v>
      </c>
      <c r="I42" s="3">
        <f t="shared" ref="I42:I62" si="1">IF(H42="",I41,$A$43+H42*$E$1)</f>
        <v>27.178850000000001</v>
      </c>
      <c r="J42" s="3">
        <f>IF(H42="",J41,Telai!Q33)</f>
        <v>0.15</v>
      </c>
      <c r="L42" s="3">
        <f>IF(D42="","",D42+H42)</f>
        <v>15.480700000000001</v>
      </c>
      <c r="M42" s="3">
        <f t="shared" ref="M42:M62" si="2">IF(L42="",M41,$A$43+L42*$E$1)</f>
        <v>34.040350000000004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IF('Fx+M(Fx)'!L43="","",'Fx+M(Fx)'!L43)</f>
        <v>13.341499999999998</v>
      </c>
      <c r="E43" s="3">
        <f t="shared" si="0"/>
        <v>32.970750000000002</v>
      </c>
      <c r="F43" s="3">
        <f>IF(D43="",F42,Telai!D34)</f>
        <v>2.35</v>
      </c>
      <c r="H43" s="3">
        <f>IF('Fy+M(Fy)'!L43="","",0.3*'Fy+M(Fy)'!L43)</f>
        <v>1.1465999999999996</v>
      </c>
      <c r="I43" s="3">
        <f t="shared" si="1"/>
        <v>26.8733</v>
      </c>
      <c r="J43" s="3">
        <f>IF(H43="",J42,Telai!Q34)</f>
        <v>2.35</v>
      </c>
      <c r="L43" s="3">
        <f t="shared" ref="L43:L62" si="3">IF(D43="","",D43+H43)</f>
        <v>14.488099999999998</v>
      </c>
      <c r="M43" s="3">
        <f t="shared" si="2"/>
        <v>33.544049999999999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IF('Fx+M(Fx)'!L44="","",'Fx+M(Fx)'!L44)</f>
        <v>12.959999999999999</v>
      </c>
      <c r="E44" s="3">
        <f t="shared" si="0"/>
        <v>32.78</v>
      </c>
      <c r="F44" s="3">
        <f>IF(D44="",F43,Telai!D35)</f>
        <v>4.55</v>
      </c>
      <c r="H44" s="3">
        <f>IF('Fy+M(Fy)'!L44="","",0.3*'Fy+M(Fy)'!L44)</f>
        <v>0.53549999999999998</v>
      </c>
      <c r="I44" s="3">
        <f t="shared" si="1"/>
        <v>26.56775</v>
      </c>
      <c r="J44" s="3">
        <f>IF(H44="",J43,Telai!Q35)</f>
        <v>4.55</v>
      </c>
      <c r="L44" s="3">
        <f t="shared" si="3"/>
        <v>13.4955</v>
      </c>
      <c r="M44" s="3">
        <f t="shared" si="2"/>
        <v>33.047750000000001</v>
      </c>
      <c r="N44" s="3">
        <f>IF(L44="",N43,Telai!AD35)</f>
        <v>4.55</v>
      </c>
    </row>
    <row r="45" spans="1:14">
      <c r="A45" s="3">
        <f>M62</f>
        <v>34.716549999999998</v>
      </c>
      <c r="B45" s="3">
        <f>MAX(F42:F62,J42:J62,N42:N62,R42:R62,V42:V62,Z42:Z62)</f>
        <v>15.85</v>
      </c>
      <c r="D45" s="3">
        <f>IF('Fx+M(Fx)'!L45="","",'Fx+M(Fx)'!L45)</f>
        <v>12.806999999999999</v>
      </c>
      <c r="E45" s="3">
        <f t="shared" si="0"/>
        <v>32.703499999999998</v>
      </c>
      <c r="F45" s="3">
        <f>IF(D45="",F44,Telai!D36)</f>
        <v>6.65</v>
      </c>
      <c r="H45" s="3">
        <f>IF('Fy+M(Fy)'!L45="","",0.3*'Fy+M(Fy)'!L45)</f>
        <v>0.22305000000000008</v>
      </c>
      <c r="I45" s="3">
        <f t="shared" si="1"/>
        <v>26.411525000000001</v>
      </c>
      <c r="J45" s="3">
        <f>IF(H45="",J44,Telai!Q36)</f>
        <v>6.65</v>
      </c>
      <c r="L45" s="3">
        <f t="shared" si="3"/>
        <v>13.030049999999999</v>
      </c>
      <c r="M45" s="3">
        <f t="shared" si="2"/>
        <v>32.815024999999999</v>
      </c>
      <c r="N45" s="3">
        <f>IF(L45="",N44,Telai!AD36)</f>
        <v>6.65</v>
      </c>
    </row>
    <row r="46" spans="1:14">
      <c r="D46" s="3">
        <f>IF('Fx+M(Fx)'!L46="","",'Fx+M(Fx)'!L46)</f>
        <v>13.013999999999999</v>
      </c>
      <c r="E46" s="3">
        <f t="shared" si="0"/>
        <v>32.807000000000002</v>
      </c>
      <c r="F46" s="3">
        <f>IF(D46="",F45,Telai!D37)</f>
        <v>8.75</v>
      </c>
      <c r="H46" s="3">
        <f>IF('Fy+M(Fy)'!L46="","",0.3*'Fy+M(Fy)'!L46)</f>
        <v>0.98160000000000003</v>
      </c>
      <c r="I46" s="3">
        <f t="shared" si="1"/>
        <v>26.790800000000001</v>
      </c>
      <c r="J46" s="3">
        <f>IF(H46="",J45,Telai!Q37)</f>
        <v>8.75</v>
      </c>
      <c r="L46" s="3">
        <f t="shared" si="3"/>
        <v>13.9956</v>
      </c>
      <c r="M46" s="3">
        <f t="shared" si="2"/>
        <v>33.297800000000002</v>
      </c>
      <c r="N46" s="3">
        <f>IF(L46="",N45,Telai!AD37)</f>
        <v>8.75</v>
      </c>
    </row>
    <row r="47" spans="1:14">
      <c r="D47" s="3">
        <f>IF('Fx+M(Fx)'!L47="","",'Fx+M(Fx)'!L47)</f>
        <v>13.051621451104101</v>
      </c>
      <c r="E47" s="3">
        <f t="shared" si="0"/>
        <v>32.825810725552053</v>
      </c>
      <c r="F47" s="3">
        <f>IF(D47="",F46,Telai!D38)</f>
        <v>9.1198738170346996</v>
      </c>
      <c r="H47" s="3">
        <f>IF('Fy+M(Fy)'!L47="","",0.3*'Fy+M(Fy)'!L47)</f>
        <v>1.08989905362776</v>
      </c>
      <c r="I47" s="3">
        <f t="shared" si="1"/>
        <v>26.844949526813881</v>
      </c>
      <c r="J47" s="3">
        <f>IF(H47="",J46,Telai!Q38)</f>
        <v>9.1198738170346996</v>
      </c>
      <c r="L47" s="3">
        <f t="shared" si="3"/>
        <v>14.141520504731862</v>
      </c>
      <c r="M47" s="3">
        <f t="shared" si="2"/>
        <v>33.370760252365933</v>
      </c>
      <c r="N47" s="3">
        <f>IF(L47="",N46,Telai!AD38)</f>
        <v>9.1198738170346996</v>
      </c>
    </row>
    <row r="48" spans="1:14">
      <c r="D48" s="3">
        <f>IF('Fx+M(Fx)'!L48="","",'Fx+M(Fx)'!L48)</f>
        <v>13.37</v>
      </c>
      <c r="E48" s="3">
        <f t="shared" si="0"/>
        <v>32.984999999999999</v>
      </c>
      <c r="F48" s="3">
        <f>IF(D48="",F47,Telai!D39)</f>
        <v>12.25</v>
      </c>
      <c r="H48" s="3">
        <f>IF('Fy+M(Fy)'!L48="","",0.3*'Fy+M(Fy)'!L48)</f>
        <v>2.0064000000000002</v>
      </c>
      <c r="I48" s="3">
        <f t="shared" si="1"/>
        <v>27.3032</v>
      </c>
      <c r="J48" s="3">
        <f>IF(H48="",J47,Telai!Q39)</f>
        <v>12.25</v>
      </c>
      <c r="L48" s="3">
        <f t="shared" si="3"/>
        <v>15.3764</v>
      </c>
      <c r="M48" s="3">
        <f t="shared" si="2"/>
        <v>33.988199999999999</v>
      </c>
      <c r="N48" s="3">
        <f>IF(L48="",N47,Telai!AD39)</f>
        <v>12.25</v>
      </c>
    </row>
    <row r="49" spans="1:14">
      <c r="D49" s="3">
        <f>IF('Fx+M(Fx)'!L49="","",'Fx+M(Fx)'!L49)</f>
        <v>13.557</v>
      </c>
      <c r="E49" s="3">
        <f t="shared" si="0"/>
        <v>33.078499999999998</v>
      </c>
      <c r="F49" s="3">
        <f>IF(D49="",F48,Telai!D40)</f>
        <v>14.05</v>
      </c>
      <c r="H49" s="3">
        <f>IF('Fy+M(Fy)'!L49="","",0.3*'Fy+M(Fy)'!L49)</f>
        <v>2.5477500000000002</v>
      </c>
      <c r="I49" s="3">
        <f t="shared" si="1"/>
        <v>27.573875000000001</v>
      </c>
      <c r="J49" s="3">
        <f>IF(H49="",J48,Telai!Q40)</f>
        <v>14.05</v>
      </c>
      <c r="L49" s="3">
        <f t="shared" si="3"/>
        <v>16.104749999999999</v>
      </c>
      <c r="M49" s="3">
        <f t="shared" si="2"/>
        <v>34.352375000000002</v>
      </c>
      <c r="N49" s="3">
        <f>IF(L49="",N48,Telai!AD40)</f>
        <v>14.05</v>
      </c>
    </row>
    <row r="50" spans="1:14">
      <c r="D50" s="3">
        <f>IF('Fx+M(Fx)'!L50="","",'Fx+M(Fx)'!L50)</f>
        <v>13.744</v>
      </c>
      <c r="E50" s="3">
        <f t="shared" si="0"/>
        <v>33.171999999999997</v>
      </c>
      <c r="F50" s="3">
        <f>IF(D50="",F49,Telai!D41)</f>
        <v>15.85</v>
      </c>
      <c r="H50" s="3">
        <f>IF('Fy+M(Fy)'!L50="","",0.3*'Fy+M(Fy)'!L50)</f>
        <v>3.0890999999999997</v>
      </c>
      <c r="I50" s="3">
        <f t="shared" si="1"/>
        <v>27.844550000000002</v>
      </c>
      <c r="J50" s="3">
        <f>IF(H50="",J49,Telai!Q41)</f>
        <v>15.85</v>
      </c>
      <c r="L50" s="3">
        <f t="shared" si="3"/>
        <v>16.833099999999998</v>
      </c>
      <c r="M50" s="3">
        <f t="shared" si="2"/>
        <v>34.716549999999998</v>
      </c>
      <c r="N50" s="3">
        <f>IF(L50="",N49,Telai!AD41)</f>
        <v>15.85</v>
      </c>
    </row>
    <row r="51" spans="1:14">
      <c r="D51" s="3" t="str">
        <f>IF('Fx+M(Fx)'!L51="","",'Fx+M(Fx)'!L51)</f>
        <v/>
      </c>
      <c r="E51" s="3">
        <f t="shared" si="0"/>
        <v>33.171999999999997</v>
      </c>
      <c r="F51" s="3">
        <f>IF(D51="",F50,Telai!D42)</f>
        <v>15.85</v>
      </c>
      <c r="H51" s="3" t="str">
        <f>IF('Fy+M(Fy)'!L51="","",0.3*'Fy+M(Fy)'!L51)</f>
        <v/>
      </c>
      <c r="I51" s="3">
        <f t="shared" si="1"/>
        <v>27.844550000000002</v>
      </c>
      <c r="J51" s="3">
        <f>IF(H51="",J50,Telai!Q42)</f>
        <v>15.85</v>
      </c>
      <c r="L51" s="3" t="str">
        <f t="shared" si="3"/>
        <v/>
      </c>
      <c r="M51" s="3">
        <f t="shared" si="2"/>
        <v>34.716549999999998</v>
      </c>
      <c r="N51" s="3">
        <f>IF(L51="",N50,Telai!AD42)</f>
        <v>15.85</v>
      </c>
    </row>
    <row r="52" spans="1:14">
      <c r="D52" s="3" t="str">
        <f>IF('Fx+M(Fx)'!L52="","",'Fx+M(Fx)'!L52)</f>
        <v/>
      </c>
      <c r="E52" s="3">
        <f t="shared" si="0"/>
        <v>33.171999999999997</v>
      </c>
      <c r="F52" s="3">
        <f>IF(D52="",F51,Telai!D43)</f>
        <v>15.85</v>
      </c>
      <c r="H52" s="3" t="str">
        <f>IF('Fy+M(Fy)'!L52="","",0.3*'Fy+M(Fy)'!L52)</f>
        <v/>
      </c>
      <c r="I52" s="3">
        <f t="shared" si="1"/>
        <v>27.844550000000002</v>
      </c>
      <c r="J52" s="3">
        <f>IF(H52="",J51,Telai!Q43)</f>
        <v>15.85</v>
      </c>
      <c r="L52" s="3" t="str">
        <f t="shared" si="3"/>
        <v/>
      </c>
      <c r="M52" s="3">
        <f t="shared" si="2"/>
        <v>34.716549999999998</v>
      </c>
      <c r="N52" s="3">
        <f>IF(L52="",N51,Telai!AD43)</f>
        <v>15.85</v>
      </c>
    </row>
    <row r="53" spans="1:14">
      <c r="D53" s="3" t="str">
        <f>IF('Fx+M(Fx)'!L53="","",'Fx+M(Fx)'!L53)</f>
        <v/>
      </c>
      <c r="E53" s="3">
        <f t="shared" si="0"/>
        <v>33.171999999999997</v>
      </c>
      <c r="F53" s="3">
        <f>IF(D53="",F52,Telai!D44)</f>
        <v>15.85</v>
      </c>
      <c r="H53" s="3" t="str">
        <f>IF('Fy+M(Fy)'!L53="","",0.3*'Fy+M(Fy)'!L53)</f>
        <v/>
      </c>
      <c r="I53" s="3">
        <f t="shared" si="1"/>
        <v>27.844550000000002</v>
      </c>
      <c r="J53" s="3">
        <f>IF(H53="",J52,Telai!Q44)</f>
        <v>15.85</v>
      </c>
      <c r="L53" s="3" t="str">
        <f t="shared" si="3"/>
        <v/>
      </c>
      <c r="M53" s="3">
        <f t="shared" si="2"/>
        <v>34.716549999999998</v>
      </c>
      <c r="N53" s="3">
        <f>IF(L53="",N52,Telai!AD44)</f>
        <v>15.85</v>
      </c>
    </row>
    <row r="54" spans="1:14">
      <c r="D54" s="3" t="str">
        <f>IF('Fx+M(Fx)'!L54="","",'Fx+M(Fx)'!L54)</f>
        <v/>
      </c>
      <c r="E54" s="3">
        <f t="shared" si="0"/>
        <v>33.171999999999997</v>
      </c>
      <c r="F54" s="3">
        <f>IF(D54="",F53,Telai!D45)</f>
        <v>15.85</v>
      </c>
      <c r="H54" s="3" t="str">
        <f>IF('Fy+M(Fy)'!L54="","",0.3*'Fy+M(Fy)'!L54)</f>
        <v/>
      </c>
      <c r="I54" s="3">
        <f t="shared" si="1"/>
        <v>27.844550000000002</v>
      </c>
      <c r="J54" s="3">
        <f>IF(H54="",J53,Telai!Q45)</f>
        <v>15.85</v>
      </c>
      <c r="L54" s="3" t="str">
        <f t="shared" si="3"/>
        <v/>
      </c>
      <c r="M54" s="3">
        <f t="shared" si="2"/>
        <v>34.716549999999998</v>
      </c>
      <c r="N54" s="3">
        <f>IF(L54="",N53,Telai!AD45)</f>
        <v>15.85</v>
      </c>
    </row>
    <row r="55" spans="1:14">
      <c r="D55" s="3" t="str">
        <f>IF('Fx+M(Fx)'!L55="","",'Fx+M(Fx)'!L55)</f>
        <v/>
      </c>
      <c r="E55" s="3">
        <f t="shared" si="0"/>
        <v>33.171999999999997</v>
      </c>
      <c r="F55" s="3">
        <f>IF(D55="",F54,Telai!D46)</f>
        <v>15.85</v>
      </c>
      <c r="H55" s="3" t="str">
        <f>IF('Fy+M(Fy)'!L55="","",0.3*'Fy+M(Fy)'!L55)</f>
        <v/>
      </c>
      <c r="I55" s="3">
        <f t="shared" si="1"/>
        <v>27.844550000000002</v>
      </c>
      <c r="J55" s="3">
        <f>IF(H55="",J54,Telai!Q46)</f>
        <v>15.85</v>
      </c>
      <c r="L55" s="3" t="str">
        <f t="shared" si="3"/>
        <v/>
      </c>
      <c r="M55" s="3">
        <f t="shared" si="2"/>
        <v>34.716549999999998</v>
      </c>
      <c r="N55" s="3">
        <f>IF(L55="",N54,Telai!AD46)</f>
        <v>15.85</v>
      </c>
    </row>
    <row r="56" spans="1:14">
      <c r="D56" s="3" t="str">
        <f>IF('Fx+M(Fx)'!L56="","",'Fx+M(Fx)'!L56)</f>
        <v/>
      </c>
      <c r="E56" s="3">
        <f t="shared" si="0"/>
        <v>33.171999999999997</v>
      </c>
      <c r="F56" s="3">
        <f>IF(D56="",F55,Telai!D47)</f>
        <v>15.85</v>
      </c>
      <c r="H56" s="3" t="str">
        <f>IF('Fy+M(Fy)'!L56="","",0.3*'Fy+M(Fy)'!L56)</f>
        <v/>
      </c>
      <c r="I56" s="3">
        <f t="shared" si="1"/>
        <v>27.844550000000002</v>
      </c>
      <c r="J56" s="3">
        <f>IF(H56="",J55,Telai!Q47)</f>
        <v>15.85</v>
      </c>
      <c r="L56" s="3" t="str">
        <f t="shared" si="3"/>
        <v/>
      </c>
      <c r="M56" s="3">
        <f t="shared" si="2"/>
        <v>34.716549999999998</v>
      </c>
      <c r="N56" s="3">
        <f>IF(L56="",N55,Telai!AD47)</f>
        <v>15.85</v>
      </c>
    </row>
    <row r="57" spans="1:14">
      <c r="D57" s="3" t="str">
        <f>IF('Fx+M(Fx)'!L57="","",'Fx+M(Fx)'!L57)</f>
        <v/>
      </c>
      <c r="E57" s="3">
        <f t="shared" si="0"/>
        <v>33.171999999999997</v>
      </c>
      <c r="F57" s="3">
        <f>IF(D57="",F56,Telai!D48)</f>
        <v>15.85</v>
      </c>
      <c r="H57" s="3" t="str">
        <f>IF('Fy+M(Fy)'!L57="","",0.3*'Fy+M(Fy)'!L57)</f>
        <v/>
      </c>
      <c r="I57" s="3">
        <f t="shared" si="1"/>
        <v>27.844550000000002</v>
      </c>
      <c r="J57" s="3">
        <f>IF(H57="",J56,Telai!Q48)</f>
        <v>15.85</v>
      </c>
      <c r="L57" s="3" t="str">
        <f t="shared" si="3"/>
        <v/>
      </c>
      <c r="M57" s="3">
        <f t="shared" si="2"/>
        <v>34.716549999999998</v>
      </c>
      <c r="N57" s="3">
        <f>IF(L57="",N56,Telai!AD48)</f>
        <v>15.85</v>
      </c>
    </row>
    <row r="58" spans="1:14">
      <c r="D58" s="3" t="str">
        <f>IF('Fx+M(Fx)'!L58="","",'Fx+M(Fx)'!L58)</f>
        <v/>
      </c>
      <c r="E58" s="3">
        <f t="shared" si="0"/>
        <v>33.171999999999997</v>
      </c>
      <c r="F58" s="3">
        <f>IF(D58="",F57,Telai!D49)</f>
        <v>15.85</v>
      </c>
      <c r="H58" s="3" t="str">
        <f>IF('Fy+M(Fy)'!L58="","",0.3*'Fy+M(Fy)'!L58)</f>
        <v/>
      </c>
      <c r="I58" s="3">
        <f t="shared" si="1"/>
        <v>27.844550000000002</v>
      </c>
      <c r="J58" s="3">
        <f>IF(H58="",J57,Telai!Q49)</f>
        <v>15.85</v>
      </c>
      <c r="L58" s="3" t="str">
        <f t="shared" si="3"/>
        <v/>
      </c>
      <c r="M58" s="3">
        <f t="shared" si="2"/>
        <v>34.716549999999998</v>
      </c>
      <c r="N58" s="3">
        <f>IF(L58="",N57,Telai!AD49)</f>
        <v>15.85</v>
      </c>
    </row>
    <row r="59" spans="1:14">
      <c r="D59" s="3" t="str">
        <f>IF('Fx+M(Fx)'!L59="","",'Fx+M(Fx)'!L59)</f>
        <v/>
      </c>
      <c r="E59" s="3">
        <f t="shared" si="0"/>
        <v>33.171999999999997</v>
      </c>
      <c r="F59" s="3">
        <f>IF(D59="",F58,Telai!D50)</f>
        <v>15.85</v>
      </c>
      <c r="H59" s="3" t="str">
        <f>IF('Fy+M(Fy)'!L59="","",0.3*'Fy+M(Fy)'!L59)</f>
        <v/>
      </c>
      <c r="I59" s="3">
        <f t="shared" si="1"/>
        <v>27.844550000000002</v>
      </c>
      <c r="J59" s="3">
        <f>IF(H59="",J58,Telai!Q50)</f>
        <v>15.85</v>
      </c>
      <c r="L59" s="3" t="str">
        <f t="shared" si="3"/>
        <v/>
      </c>
      <c r="M59" s="3">
        <f t="shared" si="2"/>
        <v>34.716549999999998</v>
      </c>
      <c r="N59" s="3">
        <f>IF(L59="",N58,Telai!AD50)</f>
        <v>15.85</v>
      </c>
    </row>
    <row r="60" spans="1:14">
      <c r="D60" s="3" t="str">
        <f>IF('Fx+M(Fx)'!L60="","",'Fx+M(Fx)'!L60)</f>
        <v/>
      </c>
      <c r="E60" s="3">
        <f t="shared" si="0"/>
        <v>33.171999999999997</v>
      </c>
      <c r="F60" s="3">
        <f>IF(D60="",F59,Telai!D51)</f>
        <v>15.85</v>
      </c>
      <c r="H60" s="3" t="str">
        <f>IF('Fy+M(Fy)'!L60="","",0.3*'Fy+M(Fy)'!L60)</f>
        <v/>
      </c>
      <c r="I60" s="3">
        <f t="shared" si="1"/>
        <v>27.844550000000002</v>
      </c>
      <c r="J60" s="3">
        <f>IF(H60="",J59,Telai!Q51)</f>
        <v>15.85</v>
      </c>
      <c r="L60" s="3" t="str">
        <f t="shared" si="3"/>
        <v/>
      </c>
      <c r="M60" s="3">
        <f t="shared" si="2"/>
        <v>34.716549999999998</v>
      </c>
      <c r="N60" s="3">
        <f>IF(L60="",N59,Telai!AD51)</f>
        <v>15.85</v>
      </c>
    </row>
    <row r="61" spans="1:14">
      <c r="A61" s="7" t="s">
        <v>113</v>
      </c>
      <c r="D61" s="3" t="str">
        <f>IF('Fx+M(Fx)'!L61="","",'Fx+M(Fx)'!L61)</f>
        <v/>
      </c>
      <c r="E61" s="3">
        <f t="shared" si="0"/>
        <v>33.171999999999997</v>
      </c>
      <c r="F61" s="3">
        <f>IF(D61="",F60,Telai!D52)</f>
        <v>15.85</v>
      </c>
      <c r="H61" s="3" t="str">
        <f>IF('Fy+M(Fy)'!L61="","",0.3*'Fy+M(Fy)'!L61)</f>
        <v/>
      </c>
      <c r="I61" s="3">
        <f t="shared" si="1"/>
        <v>27.844550000000002</v>
      </c>
      <c r="J61" s="3">
        <f>IF(H61="",J60,Telai!Q52)</f>
        <v>15.85</v>
      </c>
      <c r="L61" s="3" t="str">
        <f t="shared" si="3"/>
        <v/>
      </c>
      <c r="M61" s="3">
        <f t="shared" si="2"/>
        <v>34.716549999999998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IF('Fx+M(Fx)'!L62="","",'Fx+M(Fx)'!L62)</f>
        <v/>
      </c>
      <c r="E62" s="3">
        <f t="shared" si="0"/>
        <v>33.171999999999997</v>
      </c>
      <c r="F62" s="3">
        <f>IF(D62="",F61,Telai!D53)</f>
        <v>15.85</v>
      </c>
      <c r="H62" s="3" t="str">
        <f>IF('Fy+M(Fy)'!L62="","",0.3*'Fy+M(Fy)'!L62)</f>
        <v/>
      </c>
      <c r="I62" s="3">
        <f t="shared" si="1"/>
        <v>27.844550000000002</v>
      </c>
      <c r="J62" s="3">
        <f>IF(H62="",J61,Telai!Q53)</f>
        <v>15.85</v>
      </c>
      <c r="L62" s="3" t="str">
        <f t="shared" si="3"/>
        <v/>
      </c>
      <c r="M62" s="3">
        <f t="shared" si="2"/>
        <v>34.716549999999998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22.177799999999998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IF('Fx+M(Fx)'!L64="","",'Fx+M(Fx)'!L64)</f>
        <v>2.3579999999999997</v>
      </c>
      <c r="E64" s="3">
        <f>IF(D64="",E63,Telai!D60)</f>
        <v>0.15</v>
      </c>
      <c r="F64" s="3">
        <f t="shared" ref="F64:F84" si="4">IF(D64="",F63,$B$64+D64*$E$1)</f>
        <v>20.678999999999998</v>
      </c>
      <c r="G64" s="3"/>
      <c r="H64" s="3">
        <f>IF('Fy+M(Fy)'!L64="","",0.3*'Fy+M(Fy)'!L64)</f>
        <v>2.9975999999999998</v>
      </c>
      <c r="I64" s="3">
        <f>IF(H64="",I63,Telai!Q60)</f>
        <v>0.15</v>
      </c>
      <c r="J64" s="3">
        <f t="shared" ref="J64:J84" si="5">IF(H64="",J63,$B$64+H64*$E$1)</f>
        <v>20.998799999999999</v>
      </c>
      <c r="K64" s="3"/>
      <c r="L64" s="3">
        <f t="shared" ref="L64:L84" si="6">IF(D64="","",D64+H64)</f>
        <v>5.355599999999999</v>
      </c>
      <c r="M64" s="3">
        <f>IF(L64="",M63,Telai!AD60)</f>
        <v>0.15</v>
      </c>
      <c r="N64" s="3">
        <f t="shared" ref="N64:N84" si="7">IF(L64="",N63,$B$64+L64*$E$1)</f>
        <v>22.177799999999998</v>
      </c>
    </row>
    <row r="65" spans="1:14">
      <c r="A65" s="3">
        <f>A66</f>
        <v>22.65</v>
      </c>
      <c r="B65" s="1">
        <f>B64</f>
        <v>19.5</v>
      </c>
      <c r="D65" s="3">
        <f>IF('Fx+M(Fx)'!L65="","",'Fx+M(Fx)'!L65)</f>
        <v>1.9689999999999999</v>
      </c>
      <c r="E65" s="3">
        <f>IF(D65="",E64,Telai!D61)</f>
        <v>2.5</v>
      </c>
      <c r="F65" s="3">
        <f t="shared" si="4"/>
        <v>20.484500000000001</v>
      </c>
      <c r="G65" s="3"/>
      <c r="H65" s="3">
        <f>IF('Fy+M(Fy)'!L65="","",0.3*'Fy+M(Fy)'!L65)</f>
        <v>2.8810500000000001</v>
      </c>
      <c r="I65" s="3">
        <f>IF(H65="",I64,Telai!Q61)</f>
        <v>2.5</v>
      </c>
      <c r="J65" s="3">
        <f t="shared" si="5"/>
        <v>20.940525000000001</v>
      </c>
      <c r="K65" s="3"/>
      <c r="L65" s="3">
        <f t="shared" si="6"/>
        <v>4.8500499999999995</v>
      </c>
      <c r="M65" s="3">
        <f>IF(L65="",M64,Telai!AD61)</f>
        <v>2.5</v>
      </c>
      <c r="N65" s="3">
        <f t="shared" si="7"/>
        <v>21.925024999999998</v>
      </c>
    </row>
    <row r="66" spans="1:14">
      <c r="A66" s="3">
        <f>MAX(E64:E84,I64:I84,M64:M84,Q64:Q84,U64:U84,Y64:Y84)</f>
        <v>22.65</v>
      </c>
      <c r="B66" s="3">
        <f>N84</f>
        <v>24.689550000000001</v>
      </c>
      <c r="D66" s="3">
        <f>IF('Fx+M(Fx)'!L66="","",'Fx+M(Fx)'!L66)</f>
        <v>1.58</v>
      </c>
      <c r="E66" s="3">
        <f>IF(D66="",E65,Telai!D62)</f>
        <v>4.8499999999999996</v>
      </c>
      <c r="F66" s="3">
        <f t="shared" si="4"/>
        <v>20.29</v>
      </c>
      <c r="G66" s="3"/>
      <c r="H66" s="3">
        <f>IF('Fy+M(Fy)'!L66="","",0.3*'Fy+M(Fy)'!L66)</f>
        <v>2.7645</v>
      </c>
      <c r="I66" s="3">
        <f>IF(H66="",I65,Telai!Q62)</f>
        <v>4.8499999999999996</v>
      </c>
      <c r="J66" s="3">
        <f t="shared" si="5"/>
        <v>20.882249999999999</v>
      </c>
      <c r="K66" s="3"/>
      <c r="L66" s="3">
        <f t="shared" si="6"/>
        <v>4.3445</v>
      </c>
      <c r="M66" s="3">
        <f>IF(L66="",M65,Telai!AD62)</f>
        <v>4.8499999999999996</v>
      </c>
      <c r="N66" s="3">
        <f t="shared" si="7"/>
        <v>21.672249999999998</v>
      </c>
    </row>
    <row r="67" spans="1:14">
      <c r="D67" s="3">
        <f>IF('Fx+M(Fx)'!L67="","",'Fx+M(Fx)'!L67)</f>
        <v>1.335</v>
      </c>
      <c r="E67" s="3">
        <f>IF(D67="",E66,Telai!D63)</f>
        <v>6.75</v>
      </c>
      <c r="F67" s="3">
        <f t="shared" si="4"/>
        <v>20.1675</v>
      </c>
      <c r="G67" s="3"/>
      <c r="H67" s="3">
        <f>IF('Fy+M(Fy)'!L67="","",0.3*'Fy+M(Fy)'!L67)</f>
        <v>2.8453500000000003</v>
      </c>
      <c r="I67" s="3">
        <f>IF(H67="",I66,Telai!Q63)</f>
        <v>6.75</v>
      </c>
      <c r="J67" s="3">
        <f t="shared" si="5"/>
        <v>20.922675000000002</v>
      </c>
      <c r="K67" s="3"/>
      <c r="L67" s="3">
        <f t="shared" si="6"/>
        <v>4.1803500000000007</v>
      </c>
      <c r="M67" s="3">
        <f>IF(L67="",M66,Telai!AD63)</f>
        <v>6.75</v>
      </c>
      <c r="N67" s="3">
        <f t="shared" si="7"/>
        <v>21.590175000000002</v>
      </c>
    </row>
    <row r="68" spans="1:14">
      <c r="D68" s="3">
        <f>IF('Fx+M(Fx)'!L68="","",'Fx+M(Fx)'!L68)</f>
        <v>1.1679999999999999</v>
      </c>
      <c r="E68" s="3">
        <f>IF(D68="",E67,Telai!D64)</f>
        <v>8.65</v>
      </c>
      <c r="F68" s="3">
        <f t="shared" si="4"/>
        <v>20.084</v>
      </c>
      <c r="G68" s="3"/>
      <c r="H68" s="3">
        <f>IF('Fy+M(Fy)'!L68="","",0.3*'Fy+M(Fy)'!L68)</f>
        <v>2.9603999999999999</v>
      </c>
      <c r="I68" s="3">
        <f>IF(H68="",I67,Telai!Q64)</f>
        <v>8.65</v>
      </c>
      <c r="J68" s="3">
        <f t="shared" si="5"/>
        <v>20.9802</v>
      </c>
      <c r="K68" s="3"/>
      <c r="L68" s="3">
        <f t="shared" si="6"/>
        <v>4.1284000000000001</v>
      </c>
      <c r="M68" s="3">
        <f>IF(L68="",M67,Telai!AD64)</f>
        <v>8.65</v>
      </c>
      <c r="N68" s="3">
        <f t="shared" si="7"/>
        <v>21.5642</v>
      </c>
    </row>
    <row r="69" spans="1:14">
      <c r="D69" s="3">
        <f>IF('Fx+M(Fx)'!L69="","",'Fx+M(Fx)'!L69)</f>
        <v>1.4219999999999999</v>
      </c>
      <c r="E69" s="3">
        <f>IF(D69="",E68,Telai!D65)</f>
        <v>10.15</v>
      </c>
      <c r="F69" s="3">
        <f t="shared" si="4"/>
        <v>20.210999999999999</v>
      </c>
      <c r="G69" s="3"/>
      <c r="H69" s="3">
        <f>IF('Fy+M(Fy)'!L69="","",0.3*'Fy+M(Fy)'!L69)</f>
        <v>3.2782499999999999</v>
      </c>
      <c r="I69" s="3">
        <f>IF(H69="",I68,Telai!Q65)</f>
        <v>10.15</v>
      </c>
      <c r="J69" s="3">
        <f t="shared" si="5"/>
        <v>21.139125</v>
      </c>
      <c r="K69" s="3"/>
      <c r="L69" s="3">
        <f t="shared" si="6"/>
        <v>4.7002499999999996</v>
      </c>
      <c r="M69" s="3">
        <f>IF(L69="",M68,Telai!AD65)</f>
        <v>10.15</v>
      </c>
      <c r="N69" s="3">
        <f t="shared" si="7"/>
        <v>21.850124999999998</v>
      </c>
    </row>
    <row r="70" spans="1:14">
      <c r="D70" s="3">
        <f>IF('Fx+M(Fx)'!L70="","",'Fx+M(Fx)'!L70)</f>
        <v>1.6759999999999999</v>
      </c>
      <c r="E70" s="3">
        <f>IF(D70="",E69,Telai!D66)</f>
        <v>11.65</v>
      </c>
      <c r="F70" s="3">
        <f t="shared" si="4"/>
        <v>20.338000000000001</v>
      </c>
      <c r="G70" s="3"/>
      <c r="H70" s="3">
        <f>IF('Fy+M(Fy)'!L70="","",0.3*'Fy+M(Fy)'!L70)</f>
        <v>3.5960999999999999</v>
      </c>
      <c r="I70" s="3">
        <f>IF(H70="",I69,Telai!Q66)</f>
        <v>11.65</v>
      </c>
      <c r="J70" s="3">
        <f t="shared" si="5"/>
        <v>21.29805</v>
      </c>
      <c r="K70" s="3"/>
      <c r="L70" s="3">
        <f t="shared" si="6"/>
        <v>5.2721</v>
      </c>
      <c r="M70" s="3">
        <f>IF(L70="",M69,Telai!AD66)</f>
        <v>11.65</v>
      </c>
      <c r="N70" s="3">
        <f t="shared" si="7"/>
        <v>22.136050000000001</v>
      </c>
    </row>
    <row r="71" spans="1:14">
      <c r="D71" s="3">
        <f>IF('Fx+M(Fx)'!L71="","",'Fx+M(Fx)'!L71)</f>
        <v>1.9795</v>
      </c>
      <c r="E71" s="3">
        <f>IF(D71="",E70,Telai!D67)</f>
        <v>13.25</v>
      </c>
      <c r="F71" s="3">
        <f t="shared" si="4"/>
        <v>20.489750000000001</v>
      </c>
      <c r="G71" s="3"/>
      <c r="H71" s="3">
        <f>IF('Fy+M(Fy)'!L71="","",0.3*'Fy+M(Fy)'!L71)</f>
        <v>3.9817499999999995</v>
      </c>
      <c r="I71" s="3">
        <f>IF(H71="",I70,Telai!Q67)</f>
        <v>13.25</v>
      </c>
      <c r="J71" s="3">
        <f t="shared" si="5"/>
        <v>21.490874999999999</v>
      </c>
      <c r="K71" s="3"/>
      <c r="L71" s="3">
        <f t="shared" si="6"/>
        <v>5.9612499999999997</v>
      </c>
      <c r="M71" s="3">
        <f>IF(L71="",M70,Telai!AD67)</f>
        <v>13.25</v>
      </c>
      <c r="N71" s="3">
        <f t="shared" si="7"/>
        <v>22.480625</v>
      </c>
    </row>
    <row r="72" spans="1:14">
      <c r="D72" s="3">
        <f>IF('Fx+M(Fx)'!L72="","",'Fx+M(Fx)'!L72)</f>
        <v>2.2829999999999999</v>
      </c>
      <c r="E72" s="3">
        <f>IF(D72="",E71,Telai!D68)</f>
        <v>14.85</v>
      </c>
      <c r="F72" s="3">
        <f t="shared" si="4"/>
        <v>20.641500000000001</v>
      </c>
      <c r="G72" s="3"/>
      <c r="H72" s="3">
        <f>IF('Fy+M(Fy)'!L72="","",0.3*'Fy+M(Fy)'!L72)</f>
        <v>4.3673999999999999</v>
      </c>
      <c r="I72" s="3">
        <f>IF(H72="",I71,Telai!Q68)</f>
        <v>14.85</v>
      </c>
      <c r="J72" s="3">
        <f t="shared" si="5"/>
        <v>21.683700000000002</v>
      </c>
      <c r="K72" s="3"/>
      <c r="L72" s="3">
        <f t="shared" si="6"/>
        <v>6.6503999999999994</v>
      </c>
      <c r="M72" s="3">
        <f>IF(L72="",M71,Telai!AD68)</f>
        <v>14.85</v>
      </c>
      <c r="N72" s="3">
        <f t="shared" si="7"/>
        <v>22.825199999999999</v>
      </c>
    </row>
    <row r="73" spans="1:14">
      <c r="D73" s="3">
        <f>IF('Fx+M(Fx)'!L73="","",'Fx+M(Fx)'!L73)</f>
        <v>2.714</v>
      </c>
      <c r="E73" s="3">
        <f>IF(D73="",E72,Telai!D69)</f>
        <v>16.95</v>
      </c>
      <c r="F73" s="3">
        <f t="shared" si="4"/>
        <v>20.856999999999999</v>
      </c>
      <c r="G73" s="3"/>
      <c r="H73" s="3">
        <f>IF('Fy+M(Fy)'!L73="","",0.3*'Fy+M(Fy)'!L73)</f>
        <v>4.9172999999999991</v>
      </c>
      <c r="I73" s="3">
        <f>IF(H73="",I72,Telai!Q69)</f>
        <v>16.95</v>
      </c>
      <c r="J73" s="3">
        <f t="shared" si="5"/>
        <v>21.958649999999999</v>
      </c>
      <c r="K73" s="3"/>
      <c r="L73" s="3">
        <f t="shared" si="6"/>
        <v>7.6312999999999995</v>
      </c>
      <c r="M73" s="3">
        <f>IF(L73="",M72,Telai!AD69)</f>
        <v>16.95</v>
      </c>
      <c r="N73" s="3">
        <f t="shared" si="7"/>
        <v>23.315649999999998</v>
      </c>
    </row>
    <row r="74" spans="1:14">
      <c r="D74" s="3">
        <f>IF('Fx+M(Fx)'!L74="","",'Fx+M(Fx)'!L74)</f>
        <v>3.145</v>
      </c>
      <c r="E74" s="3">
        <f>IF(D74="",E73,Telai!D70)</f>
        <v>19.05</v>
      </c>
      <c r="F74" s="3">
        <f t="shared" si="4"/>
        <v>21.072500000000002</v>
      </c>
      <c r="G74" s="3"/>
      <c r="H74" s="3">
        <f>IF('Fy+M(Fy)'!L74="","",0.3*'Fy+M(Fy)'!L74)</f>
        <v>5.4672000000000009</v>
      </c>
      <c r="I74" s="3">
        <f>IF(H74="",I73,Telai!Q70)</f>
        <v>19.05</v>
      </c>
      <c r="J74" s="3">
        <f t="shared" si="5"/>
        <v>22.233599999999999</v>
      </c>
      <c r="K74" s="3"/>
      <c r="L74" s="3">
        <f t="shared" si="6"/>
        <v>8.6122000000000014</v>
      </c>
      <c r="M74" s="3">
        <f>IF(L74="",M73,Telai!AD70)</f>
        <v>19.05</v>
      </c>
      <c r="N74" s="3">
        <f t="shared" si="7"/>
        <v>23.806100000000001</v>
      </c>
    </row>
    <row r="75" spans="1:14">
      <c r="D75" s="3">
        <f>IF('Fx+M(Fx)'!L75="","",'Fx+M(Fx)'!L75)</f>
        <v>3.5330000000000004</v>
      </c>
      <c r="E75" s="3">
        <f>IF(D75="",E74,Telai!D71)</f>
        <v>20.85</v>
      </c>
      <c r="F75" s="3">
        <f t="shared" si="4"/>
        <v>21.266500000000001</v>
      </c>
      <c r="G75" s="3"/>
      <c r="H75" s="3">
        <f>IF('Fy+M(Fy)'!L75="","",0.3*'Fy+M(Fy)'!L75)</f>
        <v>5.9626500000000009</v>
      </c>
      <c r="I75" s="3">
        <f>IF(H75="",I74,Telai!Q71)</f>
        <v>20.85</v>
      </c>
      <c r="J75" s="3">
        <f t="shared" si="5"/>
        <v>22.481325000000002</v>
      </c>
      <c r="K75" s="3"/>
      <c r="L75" s="3">
        <f t="shared" si="6"/>
        <v>9.4956500000000013</v>
      </c>
      <c r="M75" s="3">
        <f>IF(L75="",M74,Telai!AD71)</f>
        <v>20.85</v>
      </c>
      <c r="N75" s="3">
        <f t="shared" si="7"/>
        <v>24.247824999999999</v>
      </c>
    </row>
    <row r="76" spans="1:14">
      <c r="D76" s="3">
        <f>IF('Fx+M(Fx)'!L76="","",'Fx+M(Fx)'!L76)</f>
        <v>3.9210000000000003</v>
      </c>
      <c r="E76" s="3">
        <f>IF(D76="",E75,Telai!D72)</f>
        <v>22.65</v>
      </c>
      <c r="F76" s="3">
        <f t="shared" si="4"/>
        <v>21.4605</v>
      </c>
      <c r="G76" s="3"/>
      <c r="H76" s="3">
        <f>IF('Fy+M(Fy)'!L76="","",0.3*'Fy+M(Fy)'!L76)</f>
        <v>6.4581</v>
      </c>
      <c r="I76" s="3">
        <f>IF(H76="",I75,Telai!Q72)</f>
        <v>22.65</v>
      </c>
      <c r="J76" s="3">
        <f t="shared" si="5"/>
        <v>22.729050000000001</v>
      </c>
      <c r="K76" s="3"/>
      <c r="L76" s="3">
        <f t="shared" si="6"/>
        <v>10.379100000000001</v>
      </c>
      <c r="M76" s="3">
        <f>IF(L76="",M75,Telai!AD72)</f>
        <v>22.65</v>
      </c>
      <c r="N76" s="3">
        <f t="shared" si="7"/>
        <v>24.689550000000001</v>
      </c>
    </row>
    <row r="77" spans="1:14">
      <c r="D77" s="3" t="str">
        <f>IF('Fx+M(Fx)'!L77="","",'Fx+M(Fx)'!L77)</f>
        <v/>
      </c>
      <c r="E77" s="3">
        <f>IF(D77="",E76,Telai!D73)</f>
        <v>22.65</v>
      </c>
      <c r="F77" s="3">
        <f t="shared" si="4"/>
        <v>21.4605</v>
      </c>
      <c r="G77" s="3"/>
      <c r="H77" s="3" t="str">
        <f>IF('Fy+M(Fy)'!L77="","",0.3*'Fy+M(Fy)'!L77)</f>
        <v/>
      </c>
      <c r="I77" s="3">
        <f>IF(H77="",I76,Telai!Q73)</f>
        <v>22.65</v>
      </c>
      <c r="J77" s="3">
        <f t="shared" si="5"/>
        <v>22.729050000000001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24.689550000000001</v>
      </c>
    </row>
    <row r="78" spans="1:14">
      <c r="D78" s="3" t="str">
        <f>IF('Fx+M(Fx)'!L78="","",'Fx+M(Fx)'!L78)</f>
        <v/>
      </c>
      <c r="E78" s="3">
        <f>IF(D78="",E77,Telai!D74)</f>
        <v>22.65</v>
      </c>
      <c r="F78" s="3">
        <f t="shared" si="4"/>
        <v>21.4605</v>
      </c>
      <c r="G78" s="3"/>
      <c r="H78" s="3" t="str">
        <f>IF('Fy+M(Fy)'!L78="","",0.3*'Fy+M(Fy)'!L78)</f>
        <v/>
      </c>
      <c r="I78" s="3">
        <f>IF(H78="",I77,Telai!Q74)</f>
        <v>22.65</v>
      </c>
      <c r="J78" s="3">
        <f t="shared" si="5"/>
        <v>22.729050000000001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24.689550000000001</v>
      </c>
    </row>
    <row r="79" spans="1:14">
      <c r="D79" s="3" t="str">
        <f>IF('Fx+M(Fx)'!L79="","",'Fx+M(Fx)'!L79)</f>
        <v/>
      </c>
      <c r="E79" s="3">
        <f>IF(D79="",E78,Telai!D75)</f>
        <v>22.65</v>
      </c>
      <c r="F79" s="3">
        <f t="shared" si="4"/>
        <v>21.4605</v>
      </c>
      <c r="G79" s="3"/>
      <c r="H79" s="3" t="str">
        <f>IF('Fy+M(Fy)'!L79="","",0.3*'Fy+M(Fy)'!L79)</f>
        <v/>
      </c>
      <c r="I79" s="3">
        <f>IF(H79="",I78,Telai!Q75)</f>
        <v>22.65</v>
      </c>
      <c r="J79" s="3">
        <f t="shared" si="5"/>
        <v>22.729050000000001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24.689550000000001</v>
      </c>
    </row>
    <row r="80" spans="1:14">
      <c r="D80" s="3" t="str">
        <f>IF('Fx+M(Fx)'!L80="","",'Fx+M(Fx)'!L80)</f>
        <v/>
      </c>
      <c r="E80" s="3">
        <f>IF(D80="",E79,Telai!D76)</f>
        <v>22.65</v>
      </c>
      <c r="F80" s="3">
        <f t="shared" si="4"/>
        <v>21.4605</v>
      </c>
      <c r="G80" s="3"/>
      <c r="H80" s="3" t="str">
        <f>IF('Fy+M(Fy)'!L80="","",0.3*'Fy+M(Fy)'!L80)</f>
        <v/>
      </c>
      <c r="I80" s="3">
        <f>IF(H80="",I79,Telai!Q76)</f>
        <v>22.65</v>
      </c>
      <c r="J80" s="3">
        <f t="shared" si="5"/>
        <v>22.729050000000001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24.689550000000001</v>
      </c>
    </row>
    <row r="81" spans="4:14">
      <c r="D81" s="3" t="str">
        <f>IF('Fx+M(Fx)'!L81="","",'Fx+M(Fx)'!L81)</f>
        <v/>
      </c>
      <c r="E81" s="3">
        <f>IF(D81="",E80,Telai!D77)</f>
        <v>22.65</v>
      </c>
      <c r="F81" s="3">
        <f t="shared" si="4"/>
        <v>21.4605</v>
      </c>
      <c r="G81" s="3"/>
      <c r="H81" s="3" t="str">
        <f>IF('Fy+M(Fy)'!L81="","",0.3*'Fy+M(Fy)'!L81)</f>
        <v/>
      </c>
      <c r="I81" s="3">
        <f>IF(H81="",I80,Telai!Q77)</f>
        <v>22.65</v>
      </c>
      <c r="J81" s="3">
        <f t="shared" si="5"/>
        <v>22.729050000000001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24.689550000000001</v>
      </c>
    </row>
    <row r="82" spans="4:14">
      <c r="D82" s="3" t="str">
        <f>IF('Fx+M(Fx)'!L82="","",'Fx+M(Fx)'!L82)</f>
        <v/>
      </c>
      <c r="E82" s="3">
        <f>IF(D82="",E81,Telai!D78)</f>
        <v>22.65</v>
      </c>
      <c r="F82" s="3">
        <f t="shared" si="4"/>
        <v>21.4605</v>
      </c>
      <c r="G82" s="3"/>
      <c r="H82" s="3" t="str">
        <f>IF('Fy+M(Fy)'!L82="","",0.3*'Fy+M(Fy)'!L82)</f>
        <v/>
      </c>
      <c r="I82" s="3">
        <f>IF(H82="",I81,Telai!Q78)</f>
        <v>22.65</v>
      </c>
      <c r="J82" s="3">
        <f t="shared" si="5"/>
        <v>22.729050000000001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24.689550000000001</v>
      </c>
    </row>
    <row r="83" spans="4:14">
      <c r="D83" s="3" t="str">
        <f>IF('Fx+M(Fx)'!L83="","",'Fx+M(Fx)'!L83)</f>
        <v/>
      </c>
      <c r="E83" s="3">
        <f>IF(D83="",E82,Telai!D79)</f>
        <v>22.65</v>
      </c>
      <c r="F83" s="3">
        <f t="shared" si="4"/>
        <v>21.4605</v>
      </c>
      <c r="G83" s="3"/>
      <c r="H83" s="3" t="str">
        <f>IF('Fy+M(Fy)'!L83="","",0.3*'Fy+M(Fy)'!L83)</f>
        <v/>
      </c>
      <c r="I83" s="3">
        <f>IF(H83="",I82,Telai!Q79)</f>
        <v>22.65</v>
      </c>
      <c r="J83" s="3">
        <f t="shared" si="5"/>
        <v>22.729050000000001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24.689550000000001</v>
      </c>
    </row>
    <row r="84" spans="4:14">
      <c r="D84" s="3" t="str">
        <f>IF('Fx+M(Fx)'!L84="","",'Fx+M(Fx)'!L84)</f>
        <v/>
      </c>
      <c r="E84" s="3">
        <f>IF(D84="",E83,Telai!D80)</f>
        <v>22.65</v>
      </c>
      <c r="F84" s="3">
        <f t="shared" si="4"/>
        <v>21.4605</v>
      </c>
      <c r="G84" s="3"/>
      <c r="H84" s="3" t="str">
        <f>IF('Fy+M(Fy)'!L84="","",0.3*'Fy+M(Fy)'!L84)</f>
        <v/>
      </c>
      <c r="I84" s="3">
        <f>IF(H84="",I83,Telai!Q80)</f>
        <v>22.65</v>
      </c>
      <c r="J84" s="3">
        <f t="shared" si="5"/>
        <v>22.729050000000001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24.689550000000001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8</v>
      </c>
      <c r="H40" s="6" t="str">
        <f>D40</f>
        <v>piano 5</v>
      </c>
      <c r="I40" s="6" t="s">
        <v>141</v>
      </c>
      <c r="L40" s="6" t="str">
        <f>H40</f>
        <v>piano 5</v>
      </c>
      <c r="M40" s="6" t="s">
        <v>142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31.287950000000002</v>
      </c>
      <c r="B42" s="3">
        <f>MIN(F42:F62,J42:J62,N42:N62,R42:R62,V42:V62,Z42:Z62)</f>
        <v>0.15</v>
      </c>
      <c r="D42" s="3">
        <f>IF('Fy+M(Fy)'!L42="","",'Fy+M(Fy)'!L42)</f>
        <v>5.859</v>
      </c>
      <c r="E42" s="3">
        <f t="shared" ref="E42:E62" si="0">IF(D42="",E41,$A$43+D42*$E$1)</f>
        <v>29.229500000000002</v>
      </c>
      <c r="F42" s="3">
        <f>IF(D42="",F41,Telai!D33)</f>
        <v>0.15</v>
      </c>
      <c r="H42" s="3">
        <f>IF('Fx+M(Fx)'!L42="","",0.3*'Fx+M(Fx)'!L42)</f>
        <v>4.1169000000000002</v>
      </c>
      <c r="I42" s="3">
        <f t="shared" ref="I42:I62" si="1">IF(H42="",I41,$A$43+H42*$E$1)</f>
        <v>28.358450000000001</v>
      </c>
      <c r="J42" s="3">
        <f>IF(H42="",J41,Telai!Q33)</f>
        <v>0.15</v>
      </c>
      <c r="L42" s="3">
        <f t="shared" ref="L42:L62" si="2">IF(D42="","",D42+H42)</f>
        <v>9.9758999999999993</v>
      </c>
      <c r="M42" s="3">
        <f t="shared" ref="M42:M62" si="3">IF(L42="",M41,$A$43+L42*$E$1)</f>
        <v>31.287950000000002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IF('Fy+M(Fy)'!L43="","",'Fy+M(Fy)'!L43)</f>
        <v>3.8219999999999992</v>
      </c>
      <c r="E43" s="3">
        <f t="shared" si="0"/>
        <v>28.210999999999999</v>
      </c>
      <c r="F43" s="3">
        <f>IF(D43="",F42,Telai!D34)</f>
        <v>2.35</v>
      </c>
      <c r="H43" s="3">
        <f>IF('Fx+M(Fx)'!L43="","",0.3*'Fx+M(Fx)'!L43)</f>
        <v>4.0024499999999996</v>
      </c>
      <c r="I43" s="3">
        <f t="shared" si="1"/>
        <v>28.301225000000002</v>
      </c>
      <c r="J43" s="3">
        <f>IF(H43="",J42,Telai!Q34)</f>
        <v>2.35</v>
      </c>
      <c r="L43" s="3">
        <f t="shared" si="2"/>
        <v>7.8244499999999988</v>
      </c>
      <c r="M43" s="3">
        <f t="shared" si="3"/>
        <v>30.212225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IF('Fy+M(Fy)'!L44="","",'Fy+M(Fy)'!L44)</f>
        <v>1.7850000000000001</v>
      </c>
      <c r="E44" s="3">
        <f t="shared" si="0"/>
        <v>27.192500000000003</v>
      </c>
      <c r="F44" s="3">
        <f>IF(D44="",F43,Telai!D35)</f>
        <v>4.55</v>
      </c>
      <c r="H44" s="3">
        <f>IF('Fx+M(Fx)'!L44="","",0.3*'Fx+M(Fx)'!L44)</f>
        <v>3.8879999999999995</v>
      </c>
      <c r="I44" s="3">
        <f t="shared" si="1"/>
        <v>28.244</v>
      </c>
      <c r="J44" s="3">
        <f>IF(H44="",J43,Telai!Q35)</f>
        <v>4.55</v>
      </c>
      <c r="L44" s="3">
        <f t="shared" si="2"/>
        <v>5.673</v>
      </c>
      <c r="M44" s="3">
        <f t="shared" si="3"/>
        <v>29.136500000000002</v>
      </c>
      <c r="N44" s="3">
        <f>IF(L44="",N43,Telai!AD35)</f>
        <v>4.55</v>
      </c>
    </row>
    <row r="45" spans="1:14">
      <c r="A45" s="3">
        <f>M62</f>
        <v>33.510100000000001</v>
      </c>
      <c r="B45" s="3">
        <f>MAX(F42:F62,J42:J62,N42:N62,R42:R62,V42:V62,Z42:Z62)</f>
        <v>15.85</v>
      </c>
      <c r="D45" s="3">
        <f>IF('Fy+M(Fy)'!L45="","",'Fy+M(Fy)'!L45)</f>
        <v>0.74350000000000027</v>
      </c>
      <c r="E45" s="3">
        <f t="shared" si="0"/>
        <v>26.671749999999999</v>
      </c>
      <c r="F45" s="3">
        <f>IF(D45="",F44,Telai!D36)</f>
        <v>6.65</v>
      </c>
      <c r="H45" s="3">
        <f>IF('Fx+M(Fx)'!L45="","",0.3*'Fx+M(Fx)'!L45)</f>
        <v>3.8420999999999994</v>
      </c>
      <c r="I45" s="3">
        <f t="shared" si="1"/>
        <v>28.221050000000002</v>
      </c>
      <c r="J45" s="3">
        <f>IF(H45="",J44,Telai!Q36)</f>
        <v>6.65</v>
      </c>
      <c r="L45" s="3">
        <f t="shared" si="2"/>
        <v>4.5855999999999995</v>
      </c>
      <c r="M45" s="3">
        <f t="shared" si="3"/>
        <v>28.5928</v>
      </c>
      <c r="N45" s="3">
        <f>IF(L45="",N44,Telai!AD36)</f>
        <v>6.65</v>
      </c>
    </row>
    <row r="46" spans="1:14">
      <c r="D46" s="3">
        <f>IF('Fy+M(Fy)'!L46="","",'Fy+M(Fy)'!L46)</f>
        <v>3.2720000000000002</v>
      </c>
      <c r="E46" s="3">
        <f t="shared" si="0"/>
        <v>27.936</v>
      </c>
      <c r="F46" s="3">
        <f>IF(D46="",F45,Telai!D37)</f>
        <v>8.75</v>
      </c>
      <c r="H46" s="3">
        <f>IF('Fx+M(Fx)'!L46="","",0.3*'Fx+M(Fx)'!L46)</f>
        <v>3.9041999999999994</v>
      </c>
      <c r="I46" s="3">
        <f t="shared" si="1"/>
        <v>28.252099999999999</v>
      </c>
      <c r="J46" s="3">
        <f>IF(H46="",J45,Telai!Q37)</f>
        <v>8.75</v>
      </c>
      <c r="L46" s="3">
        <f t="shared" si="2"/>
        <v>7.1761999999999997</v>
      </c>
      <c r="M46" s="3">
        <f t="shared" si="3"/>
        <v>29.888100000000001</v>
      </c>
      <c r="N46" s="3">
        <f>IF(L46="",N45,Telai!AD37)</f>
        <v>8.75</v>
      </c>
    </row>
    <row r="47" spans="1:14">
      <c r="D47" s="3">
        <f>IF('Fy+M(Fy)'!L47="","",'Fy+M(Fy)'!L47)</f>
        <v>3.6329968454258665</v>
      </c>
      <c r="E47" s="3">
        <f t="shared" si="0"/>
        <v>28.116498422712933</v>
      </c>
      <c r="F47" s="3">
        <f>IF(D47="",F46,Telai!D38)</f>
        <v>9.1198738170346996</v>
      </c>
      <c r="H47" s="3">
        <f>IF('Fx+M(Fx)'!L47="","",0.3*'Fx+M(Fx)'!L47)</f>
        <v>3.9154864353312302</v>
      </c>
      <c r="I47" s="3">
        <f t="shared" si="1"/>
        <v>28.257743217665617</v>
      </c>
      <c r="J47" s="3">
        <f>IF(H47="",J46,Telai!Q38)</f>
        <v>9.1198738170346996</v>
      </c>
      <c r="L47" s="3">
        <f t="shared" si="2"/>
        <v>7.5484832807570967</v>
      </c>
      <c r="M47" s="3">
        <f t="shared" si="3"/>
        <v>30.074241640378549</v>
      </c>
      <c r="N47" s="3">
        <f>IF(L47="",N46,Telai!AD38)</f>
        <v>9.1198738170346996</v>
      </c>
    </row>
    <row r="48" spans="1:14">
      <c r="D48" s="3">
        <f>IF('Fy+M(Fy)'!L48="","",'Fy+M(Fy)'!L48)</f>
        <v>6.6880000000000006</v>
      </c>
      <c r="E48" s="3">
        <f t="shared" si="0"/>
        <v>29.644000000000002</v>
      </c>
      <c r="F48" s="3">
        <f>IF(D48="",F47,Telai!D39)</f>
        <v>12.25</v>
      </c>
      <c r="H48" s="3">
        <f>IF('Fx+M(Fx)'!L48="","",0.3*'Fx+M(Fx)'!L48)</f>
        <v>4.0109999999999992</v>
      </c>
      <c r="I48" s="3">
        <f t="shared" si="1"/>
        <v>28.305500000000002</v>
      </c>
      <c r="J48" s="3">
        <f>IF(H48="",J47,Telai!Q39)</f>
        <v>12.25</v>
      </c>
      <c r="L48" s="3">
        <f t="shared" si="2"/>
        <v>10.699</v>
      </c>
      <c r="M48" s="3">
        <f t="shared" si="3"/>
        <v>31.6495</v>
      </c>
      <c r="N48" s="3">
        <f>IF(L48="",N47,Telai!AD39)</f>
        <v>12.25</v>
      </c>
    </row>
    <row r="49" spans="1:14">
      <c r="D49" s="3">
        <f>IF('Fy+M(Fy)'!L49="","",'Fy+M(Fy)'!L49)</f>
        <v>8.4925000000000015</v>
      </c>
      <c r="E49" s="3">
        <f t="shared" si="0"/>
        <v>30.546250000000001</v>
      </c>
      <c r="F49" s="3">
        <f>IF(D49="",F48,Telai!D40)</f>
        <v>14.05</v>
      </c>
      <c r="H49" s="3">
        <f>IF('Fx+M(Fx)'!L49="","",0.3*'Fx+M(Fx)'!L49)</f>
        <v>4.0670999999999999</v>
      </c>
      <c r="I49" s="3">
        <f t="shared" si="1"/>
        <v>28.333550000000002</v>
      </c>
      <c r="J49" s="3">
        <f>IF(H49="",J48,Telai!Q40)</f>
        <v>14.05</v>
      </c>
      <c r="L49" s="3">
        <f t="shared" si="2"/>
        <v>12.559600000000001</v>
      </c>
      <c r="M49" s="3">
        <f t="shared" si="3"/>
        <v>32.579799999999999</v>
      </c>
      <c r="N49" s="3">
        <f>IF(L49="",N48,Telai!AD40)</f>
        <v>14.05</v>
      </c>
    </row>
    <row r="50" spans="1:14">
      <c r="D50" s="3">
        <f>IF('Fy+M(Fy)'!L50="","",'Fy+M(Fy)'!L50)</f>
        <v>10.296999999999999</v>
      </c>
      <c r="E50" s="3">
        <f t="shared" si="0"/>
        <v>31.448499999999999</v>
      </c>
      <c r="F50" s="3">
        <f>IF(D50="",F49,Telai!D41)</f>
        <v>15.85</v>
      </c>
      <c r="H50" s="3">
        <f>IF('Fx+M(Fx)'!L50="","",0.3*'Fx+M(Fx)'!L50)</f>
        <v>4.1231999999999998</v>
      </c>
      <c r="I50" s="3">
        <f t="shared" si="1"/>
        <v>28.361599999999999</v>
      </c>
      <c r="J50" s="3">
        <f>IF(H50="",J49,Telai!Q41)</f>
        <v>15.85</v>
      </c>
      <c r="L50" s="3">
        <f t="shared" si="2"/>
        <v>14.420199999999998</v>
      </c>
      <c r="M50" s="3">
        <f t="shared" si="3"/>
        <v>33.510100000000001</v>
      </c>
      <c r="N50" s="3">
        <f>IF(L50="",N49,Telai!AD41)</f>
        <v>15.85</v>
      </c>
    </row>
    <row r="51" spans="1:14">
      <c r="D51" s="3" t="str">
        <f>IF('Fy+M(Fy)'!L51="","",'Fy+M(Fy)'!L51)</f>
        <v/>
      </c>
      <c r="E51" s="3">
        <f t="shared" si="0"/>
        <v>31.448499999999999</v>
      </c>
      <c r="F51" s="3">
        <f>IF(D51="",F50,Telai!D42)</f>
        <v>15.85</v>
      </c>
      <c r="H51" s="3" t="str">
        <f>IF('Fx+M(Fx)'!L51="","",0.3*'Fx+M(Fx)'!L51)</f>
        <v/>
      </c>
      <c r="I51" s="3">
        <f t="shared" si="1"/>
        <v>28.361599999999999</v>
      </c>
      <c r="J51" s="3">
        <f>IF(H51="",J50,Telai!Q42)</f>
        <v>15.85</v>
      </c>
      <c r="L51" s="3" t="str">
        <f t="shared" si="2"/>
        <v/>
      </c>
      <c r="M51" s="3">
        <f t="shared" si="3"/>
        <v>33.510100000000001</v>
      </c>
      <c r="N51" s="3">
        <f>IF(L51="",N50,Telai!AD42)</f>
        <v>15.85</v>
      </c>
    </row>
    <row r="52" spans="1:14">
      <c r="D52" s="3" t="str">
        <f>IF('Fy+M(Fy)'!L52="","",'Fy+M(Fy)'!L52)</f>
        <v/>
      </c>
      <c r="E52" s="3">
        <f t="shared" si="0"/>
        <v>31.448499999999999</v>
      </c>
      <c r="F52" s="3">
        <f>IF(D52="",F51,Telai!D43)</f>
        <v>15.85</v>
      </c>
      <c r="H52" s="3" t="str">
        <f>IF('Fx+M(Fx)'!L52="","",0.3*'Fx+M(Fx)'!L52)</f>
        <v/>
      </c>
      <c r="I52" s="3">
        <f t="shared" si="1"/>
        <v>28.361599999999999</v>
      </c>
      <c r="J52" s="3">
        <f>IF(H52="",J51,Telai!Q43)</f>
        <v>15.85</v>
      </c>
      <c r="L52" s="3" t="str">
        <f t="shared" si="2"/>
        <v/>
      </c>
      <c r="M52" s="3">
        <f t="shared" si="3"/>
        <v>33.510100000000001</v>
      </c>
      <c r="N52" s="3">
        <f>IF(L52="",N51,Telai!AD43)</f>
        <v>15.85</v>
      </c>
    </row>
    <row r="53" spans="1:14">
      <c r="D53" s="3" t="str">
        <f>IF('Fy+M(Fy)'!L53="","",'Fy+M(Fy)'!L53)</f>
        <v/>
      </c>
      <c r="E53" s="3">
        <f t="shared" si="0"/>
        <v>31.448499999999999</v>
      </c>
      <c r="F53" s="3">
        <f>IF(D53="",F52,Telai!D44)</f>
        <v>15.85</v>
      </c>
      <c r="H53" s="3" t="str">
        <f>IF('Fx+M(Fx)'!L53="","",0.3*'Fx+M(Fx)'!L53)</f>
        <v/>
      </c>
      <c r="I53" s="3">
        <f t="shared" si="1"/>
        <v>28.361599999999999</v>
      </c>
      <c r="J53" s="3">
        <f>IF(H53="",J52,Telai!Q44)</f>
        <v>15.85</v>
      </c>
      <c r="L53" s="3" t="str">
        <f t="shared" si="2"/>
        <v/>
      </c>
      <c r="M53" s="3">
        <f t="shared" si="3"/>
        <v>33.510100000000001</v>
      </c>
      <c r="N53" s="3">
        <f>IF(L53="",N52,Telai!AD44)</f>
        <v>15.85</v>
      </c>
    </row>
    <row r="54" spans="1:14">
      <c r="D54" s="3" t="str">
        <f>IF('Fy+M(Fy)'!L54="","",'Fy+M(Fy)'!L54)</f>
        <v/>
      </c>
      <c r="E54" s="3">
        <f t="shared" si="0"/>
        <v>31.448499999999999</v>
      </c>
      <c r="F54" s="3">
        <f>IF(D54="",F53,Telai!D45)</f>
        <v>15.85</v>
      </c>
      <c r="H54" s="3" t="str">
        <f>IF('Fx+M(Fx)'!L54="","",0.3*'Fx+M(Fx)'!L54)</f>
        <v/>
      </c>
      <c r="I54" s="3">
        <f t="shared" si="1"/>
        <v>28.361599999999999</v>
      </c>
      <c r="J54" s="3">
        <f>IF(H54="",J53,Telai!Q45)</f>
        <v>15.85</v>
      </c>
      <c r="L54" s="3" t="str">
        <f t="shared" si="2"/>
        <v/>
      </c>
      <c r="M54" s="3">
        <f t="shared" si="3"/>
        <v>33.510100000000001</v>
      </c>
      <c r="N54" s="3">
        <f>IF(L54="",N53,Telai!AD45)</f>
        <v>15.85</v>
      </c>
    </row>
    <row r="55" spans="1:14">
      <c r="D55" s="3" t="str">
        <f>IF('Fy+M(Fy)'!L55="","",'Fy+M(Fy)'!L55)</f>
        <v/>
      </c>
      <c r="E55" s="3">
        <f t="shared" si="0"/>
        <v>31.448499999999999</v>
      </c>
      <c r="F55" s="3">
        <f>IF(D55="",F54,Telai!D46)</f>
        <v>15.85</v>
      </c>
      <c r="H55" s="3" t="str">
        <f>IF('Fx+M(Fx)'!L55="","",0.3*'Fx+M(Fx)'!L55)</f>
        <v/>
      </c>
      <c r="I55" s="3">
        <f t="shared" si="1"/>
        <v>28.361599999999999</v>
      </c>
      <c r="J55" s="3">
        <f>IF(H55="",J54,Telai!Q46)</f>
        <v>15.85</v>
      </c>
      <c r="L55" s="3" t="str">
        <f t="shared" si="2"/>
        <v/>
      </c>
      <c r="M55" s="3">
        <f t="shared" si="3"/>
        <v>33.510100000000001</v>
      </c>
      <c r="N55" s="3">
        <f>IF(L55="",N54,Telai!AD46)</f>
        <v>15.85</v>
      </c>
    </row>
    <row r="56" spans="1:14">
      <c r="D56" s="3" t="str">
        <f>IF('Fy+M(Fy)'!L56="","",'Fy+M(Fy)'!L56)</f>
        <v/>
      </c>
      <c r="E56" s="3">
        <f t="shared" si="0"/>
        <v>31.448499999999999</v>
      </c>
      <c r="F56" s="3">
        <f>IF(D56="",F55,Telai!D47)</f>
        <v>15.85</v>
      </c>
      <c r="H56" s="3" t="str">
        <f>IF('Fx+M(Fx)'!L56="","",0.3*'Fx+M(Fx)'!L56)</f>
        <v/>
      </c>
      <c r="I56" s="3">
        <f t="shared" si="1"/>
        <v>28.361599999999999</v>
      </c>
      <c r="J56" s="3">
        <f>IF(H56="",J55,Telai!Q47)</f>
        <v>15.85</v>
      </c>
      <c r="L56" s="3" t="str">
        <f t="shared" si="2"/>
        <v/>
      </c>
      <c r="M56" s="3">
        <f t="shared" si="3"/>
        <v>33.510100000000001</v>
      </c>
      <c r="N56" s="3">
        <f>IF(L56="",N55,Telai!AD47)</f>
        <v>15.85</v>
      </c>
    </row>
    <row r="57" spans="1:14">
      <c r="D57" s="3" t="str">
        <f>IF('Fy+M(Fy)'!L57="","",'Fy+M(Fy)'!L57)</f>
        <v/>
      </c>
      <c r="E57" s="3">
        <f t="shared" si="0"/>
        <v>31.448499999999999</v>
      </c>
      <c r="F57" s="3">
        <f>IF(D57="",F56,Telai!D48)</f>
        <v>15.85</v>
      </c>
      <c r="H57" s="3" t="str">
        <f>IF('Fx+M(Fx)'!L57="","",0.3*'Fx+M(Fx)'!L57)</f>
        <v/>
      </c>
      <c r="I57" s="3">
        <f t="shared" si="1"/>
        <v>28.361599999999999</v>
      </c>
      <c r="J57" s="3">
        <f>IF(H57="",J56,Telai!Q48)</f>
        <v>15.85</v>
      </c>
      <c r="L57" s="3" t="str">
        <f t="shared" si="2"/>
        <v/>
      </c>
      <c r="M57" s="3">
        <f t="shared" si="3"/>
        <v>33.510100000000001</v>
      </c>
      <c r="N57" s="3">
        <f>IF(L57="",N56,Telai!AD48)</f>
        <v>15.85</v>
      </c>
    </row>
    <row r="58" spans="1:14">
      <c r="D58" s="3" t="str">
        <f>IF('Fy+M(Fy)'!L58="","",'Fy+M(Fy)'!L58)</f>
        <v/>
      </c>
      <c r="E58" s="3">
        <f t="shared" si="0"/>
        <v>31.448499999999999</v>
      </c>
      <c r="F58" s="3">
        <f>IF(D58="",F57,Telai!D49)</f>
        <v>15.85</v>
      </c>
      <c r="H58" s="3" t="str">
        <f>IF('Fx+M(Fx)'!L58="","",0.3*'Fx+M(Fx)'!L58)</f>
        <v/>
      </c>
      <c r="I58" s="3">
        <f t="shared" si="1"/>
        <v>28.361599999999999</v>
      </c>
      <c r="J58" s="3">
        <f>IF(H58="",J57,Telai!Q49)</f>
        <v>15.85</v>
      </c>
      <c r="L58" s="3" t="str">
        <f t="shared" si="2"/>
        <v/>
      </c>
      <c r="M58" s="3">
        <f t="shared" si="3"/>
        <v>33.510100000000001</v>
      </c>
      <c r="N58" s="3">
        <f>IF(L58="",N57,Telai!AD49)</f>
        <v>15.85</v>
      </c>
    </row>
    <row r="59" spans="1:14">
      <c r="D59" s="3" t="str">
        <f>IF('Fy+M(Fy)'!L59="","",'Fy+M(Fy)'!L59)</f>
        <v/>
      </c>
      <c r="E59" s="3">
        <f t="shared" si="0"/>
        <v>31.448499999999999</v>
      </c>
      <c r="F59" s="3">
        <f>IF(D59="",F58,Telai!D50)</f>
        <v>15.85</v>
      </c>
      <c r="H59" s="3" t="str">
        <f>IF('Fx+M(Fx)'!L59="","",0.3*'Fx+M(Fx)'!L59)</f>
        <v/>
      </c>
      <c r="I59" s="3">
        <f t="shared" si="1"/>
        <v>28.361599999999999</v>
      </c>
      <c r="J59" s="3">
        <f>IF(H59="",J58,Telai!Q50)</f>
        <v>15.85</v>
      </c>
      <c r="L59" s="3" t="str">
        <f t="shared" si="2"/>
        <v/>
      </c>
      <c r="M59" s="3">
        <f t="shared" si="3"/>
        <v>33.510100000000001</v>
      </c>
      <c r="N59" s="3">
        <f>IF(L59="",N58,Telai!AD50)</f>
        <v>15.85</v>
      </c>
    </row>
    <row r="60" spans="1:14">
      <c r="D60" s="3" t="str">
        <f>IF('Fy+M(Fy)'!L60="","",'Fy+M(Fy)'!L60)</f>
        <v/>
      </c>
      <c r="E60" s="3">
        <f t="shared" si="0"/>
        <v>31.448499999999999</v>
      </c>
      <c r="F60" s="3">
        <f>IF(D60="",F59,Telai!D51)</f>
        <v>15.85</v>
      </c>
      <c r="H60" s="3" t="str">
        <f>IF('Fx+M(Fx)'!L60="","",0.3*'Fx+M(Fx)'!L60)</f>
        <v/>
      </c>
      <c r="I60" s="3">
        <f t="shared" si="1"/>
        <v>28.361599999999999</v>
      </c>
      <c r="J60" s="3">
        <f>IF(H60="",J59,Telai!Q51)</f>
        <v>15.85</v>
      </c>
      <c r="L60" s="3" t="str">
        <f t="shared" si="2"/>
        <v/>
      </c>
      <c r="M60" s="3">
        <f t="shared" si="3"/>
        <v>33.510100000000001</v>
      </c>
      <c r="N60" s="3">
        <f>IF(L60="",N59,Telai!AD51)</f>
        <v>15.85</v>
      </c>
    </row>
    <row r="61" spans="1:14">
      <c r="A61" s="7" t="s">
        <v>113</v>
      </c>
      <c r="D61" s="3" t="str">
        <f>IF('Fy+M(Fy)'!L61="","",'Fy+M(Fy)'!L61)</f>
        <v/>
      </c>
      <c r="E61" s="3">
        <f t="shared" si="0"/>
        <v>31.448499999999999</v>
      </c>
      <c r="F61" s="3">
        <f>IF(D61="",F60,Telai!D52)</f>
        <v>15.85</v>
      </c>
      <c r="H61" s="3" t="str">
        <f>IF('Fx+M(Fx)'!L61="","",0.3*'Fx+M(Fx)'!L61)</f>
        <v/>
      </c>
      <c r="I61" s="3">
        <f t="shared" si="1"/>
        <v>28.361599999999999</v>
      </c>
      <c r="J61" s="3">
        <f>IF(H61="",J60,Telai!Q52)</f>
        <v>15.85</v>
      </c>
      <c r="L61" s="3" t="str">
        <f t="shared" si="2"/>
        <v/>
      </c>
      <c r="M61" s="3">
        <f t="shared" si="3"/>
        <v>33.510100000000001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IF('Fy+M(Fy)'!L62="","",'Fy+M(Fy)'!L62)</f>
        <v/>
      </c>
      <c r="E62" s="3">
        <f t="shared" si="0"/>
        <v>31.448499999999999</v>
      </c>
      <c r="F62" s="3">
        <f>IF(D62="",F61,Telai!D53)</f>
        <v>15.85</v>
      </c>
      <c r="H62" s="3" t="str">
        <f>IF('Fx+M(Fx)'!L62="","",0.3*'Fx+M(Fx)'!L62)</f>
        <v/>
      </c>
      <c r="I62" s="3">
        <f t="shared" si="1"/>
        <v>28.361599999999999</v>
      </c>
      <c r="J62" s="3">
        <f>IF(H62="",J61,Telai!Q53)</f>
        <v>15.85</v>
      </c>
      <c r="L62" s="3" t="str">
        <f t="shared" si="2"/>
        <v/>
      </c>
      <c r="M62" s="3">
        <f t="shared" si="3"/>
        <v>33.510100000000001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24.849699999999999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IF('Fy+M(Fy)'!L64="","",'Fy+M(Fy)'!L64)</f>
        <v>9.9919999999999991</v>
      </c>
      <c r="E64" s="3">
        <f>IF(D64="",E63,Telai!D60)</f>
        <v>0.15</v>
      </c>
      <c r="F64" s="3">
        <f t="shared" ref="F64:F84" si="4">IF(D64="",F63,$B$64+D64*$E$1)</f>
        <v>24.495999999999999</v>
      </c>
      <c r="G64" s="3"/>
      <c r="H64" s="3">
        <f>IF('Fx+M(Fx)'!L64="","",0.3*'Fx+M(Fx)'!L64)</f>
        <v>0.70739999999999992</v>
      </c>
      <c r="I64" s="3">
        <f>IF(H64="",I63,Telai!Q60)</f>
        <v>0.15</v>
      </c>
      <c r="J64" s="3">
        <f t="shared" ref="J64:J84" si="5">IF(H64="",J63,$B$64+H64*$E$1)</f>
        <v>19.8537</v>
      </c>
      <c r="K64" s="3"/>
      <c r="L64" s="3">
        <f t="shared" ref="L64:L84" si="6">IF(D64="","",D64+H64)</f>
        <v>10.699399999999999</v>
      </c>
      <c r="M64" s="3">
        <f>IF(L64="",M63,Telai!AD60)</f>
        <v>0.15</v>
      </c>
      <c r="N64" s="3">
        <f t="shared" ref="N64:N84" si="7">IF(L64="",N63,$B$64+L64*$E$1)</f>
        <v>24.849699999999999</v>
      </c>
    </row>
    <row r="65" spans="1:14">
      <c r="A65" s="3">
        <f>A66</f>
        <v>22.65</v>
      </c>
      <c r="B65" s="1">
        <f>B64</f>
        <v>19.5</v>
      </c>
      <c r="D65" s="3">
        <f>IF('Fy+M(Fy)'!L65="","",'Fy+M(Fy)'!L65)</f>
        <v>9.6035000000000004</v>
      </c>
      <c r="E65" s="3">
        <f>IF(D65="",E64,Telai!D61)</f>
        <v>2.5</v>
      </c>
      <c r="F65" s="3">
        <f t="shared" si="4"/>
        <v>24.301749999999998</v>
      </c>
      <c r="G65" s="3"/>
      <c r="H65" s="3">
        <f>IF('Fx+M(Fx)'!L65="","",0.3*'Fx+M(Fx)'!L65)</f>
        <v>0.59069999999999989</v>
      </c>
      <c r="I65" s="3">
        <f>IF(H65="",I64,Telai!Q61)</f>
        <v>2.5</v>
      </c>
      <c r="J65" s="3">
        <f t="shared" si="5"/>
        <v>19.795349999999999</v>
      </c>
      <c r="K65" s="3"/>
      <c r="L65" s="3">
        <f t="shared" si="6"/>
        <v>10.1942</v>
      </c>
      <c r="M65" s="3">
        <f>IF(L65="",M64,Telai!AD61)</f>
        <v>2.5</v>
      </c>
      <c r="N65" s="3">
        <f t="shared" si="7"/>
        <v>24.597100000000001</v>
      </c>
    </row>
    <row r="66" spans="1:14">
      <c r="A66" s="3">
        <f>MAX(E64:E84,I64:I84,M64:M84,Q64:Q84,U64:U84,Y64:Y84)</f>
        <v>22.65</v>
      </c>
      <c r="B66" s="3">
        <f>N84</f>
        <v>30.851649999999999</v>
      </c>
      <c r="D66" s="3">
        <f>IF('Fy+M(Fy)'!L66="","",'Fy+M(Fy)'!L66)</f>
        <v>9.2149999999999999</v>
      </c>
      <c r="E66" s="3">
        <f>IF(D66="",E65,Telai!D62)</f>
        <v>4.8499999999999996</v>
      </c>
      <c r="F66" s="3">
        <f t="shared" si="4"/>
        <v>24.107500000000002</v>
      </c>
      <c r="G66" s="3"/>
      <c r="H66" s="3">
        <f>IF('Fx+M(Fx)'!L66="","",0.3*'Fx+M(Fx)'!L66)</f>
        <v>0.47399999999999998</v>
      </c>
      <c r="I66" s="3">
        <f>IF(H66="",I65,Telai!Q62)</f>
        <v>4.8499999999999996</v>
      </c>
      <c r="J66" s="3">
        <f t="shared" si="5"/>
        <v>19.736999999999998</v>
      </c>
      <c r="K66" s="3"/>
      <c r="L66" s="3">
        <f t="shared" si="6"/>
        <v>9.6890000000000001</v>
      </c>
      <c r="M66" s="3">
        <f>IF(L66="",M65,Telai!AD62)</f>
        <v>4.8499999999999996</v>
      </c>
      <c r="N66" s="3">
        <f t="shared" si="7"/>
        <v>24.3445</v>
      </c>
    </row>
    <row r="67" spans="1:14">
      <c r="D67" s="3">
        <f>IF('Fy+M(Fy)'!L67="","",'Fy+M(Fy)'!L67)</f>
        <v>9.4845000000000006</v>
      </c>
      <c r="E67" s="3">
        <f>IF(D67="",E66,Telai!D63)</f>
        <v>6.75</v>
      </c>
      <c r="F67" s="3">
        <f t="shared" si="4"/>
        <v>24.242249999999999</v>
      </c>
      <c r="G67" s="3"/>
      <c r="H67" s="3">
        <f>IF('Fx+M(Fx)'!L67="","",0.3*'Fx+M(Fx)'!L67)</f>
        <v>0.40049999999999997</v>
      </c>
      <c r="I67" s="3">
        <f>IF(H67="",I66,Telai!Q63)</f>
        <v>6.75</v>
      </c>
      <c r="J67" s="3">
        <f t="shared" si="5"/>
        <v>19.70025</v>
      </c>
      <c r="K67" s="3"/>
      <c r="L67" s="3">
        <f t="shared" si="6"/>
        <v>9.8849999999999998</v>
      </c>
      <c r="M67" s="3">
        <f>IF(L67="",M66,Telai!AD63)</f>
        <v>6.75</v>
      </c>
      <c r="N67" s="3">
        <f t="shared" si="7"/>
        <v>24.442499999999999</v>
      </c>
    </row>
    <row r="68" spans="1:14">
      <c r="D68" s="3">
        <f>IF('Fy+M(Fy)'!L68="","",'Fy+M(Fy)'!L68)</f>
        <v>9.8680000000000003</v>
      </c>
      <c r="E68" s="3">
        <f>IF(D68="",E67,Telai!D64)</f>
        <v>8.65</v>
      </c>
      <c r="F68" s="3">
        <f t="shared" si="4"/>
        <v>24.434000000000001</v>
      </c>
      <c r="G68" s="3"/>
      <c r="H68" s="3">
        <f>IF('Fx+M(Fx)'!L68="","",0.3*'Fx+M(Fx)'!L68)</f>
        <v>0.35039999999999999</v>
      </c>
      <c r="I68" s="3">
        <f>IF(H68="",I67,Telai!Q64)</f>
        <v>8.65</v>
      </c>
      <c r="J68" s="3">
        <f t="shared" si="5"/>
        <v>19.6752</v>
      </c>
      <c r="K68" s="3"/>
      <c r="L68" s="3">
        <f t="shared" si="6"/>
        <v>10.218400000000001</v>
      </c>
      <c r="M68" s="3">
        <f>IF(L68="",M67,Telai!AD64)</f>
        <v>8.65</v>
      </c>
      <c r="N68" s="3">
        <f t="shared" si="7"/>
        <v>24.609200000000001</v>
      </c>
    </row>
    <row r="69" spans="1:14">
      <c r="D69" s="3">
        <f>IF('Fy+M(Fy)'!L69="","",'Fy+M(Fy)'!L69)</f>
        <v>10.9275</v>
      </c>
      <c r="E69" s="3">
        <f>IF(D69="",E68,Telai!D65)</f>
        <v>10.15</v>
      </c>
      <c r="F69" s="3">
        <f t="shared" si="4"/>
        <v>24.963750000000001</v>
      </c>
      <c r="G69" s="3"/>
      <c r="H69" s="3">
        <f>IF('Fx+M(Fx)'!L69="","",0.3*'Fx+M(Fx)'!L69)</f>
        <v>0.42659999999999998</v>
      </c>
      <c r="I69" s="3">
        <f>IF(H69="",I68,Telai!Q65)</f>
        <v>10.15</v>
      </c>
      <c r="J69" s="3">
        <f t="shared" si="5"/>
        <v>19.7133</v>
      </c>
      <c r="K69" s="3"/>
      <c r="L69" s="3">
        <f t="shared" si="6"/>
        <v>11.354100000000001</v>
      </c>
      <c r="M69" s="3">
        <f>IF(L69="",M68,Telai!AD65)</f>
        <v>10.15</v>
      </c>
      <c r="N69" s="3">
        <f t="shared" si="7"/>
        <v>25.177050000000001</v>
      </c>
    </row>
    <row r="70" spans="1:14">
      <c r="D70" s="3">
        <f>IF('Fy+M(Fy)'!L70="","",'Fy+M(Fy)'!L70)</f>
        <v>11.987</v>
      </c>
      <c r="E70" s="3">
        <f>IF(D70="",E69,Telai!D66)</f>
        <v>11.65</v>
      </c>
      <c r="F70" s="3">
        <f t="shared" si="4"/>
        <v>25.493500000000001</v>
      </c>
      <c r="G70" s="3"/>
      <c r="H70" s="3">
        <f>IF('Fx+M(Fx)'!L70="","",0.3*'Fx+M(Fx)'!L70)</f>
        <v>0.50279999999999991</v>
      </c>
      <c r="I70" s="3">
        <f>IF(H70="",I69,Telai!Q66)</f>
        <v>11.65</v>
      </c>
      <c r="J70" s="3">
        <f t="shared" si="5"/>
        <v>19.7514</v>
      </c>
      <c r="K70" s="3"/>
      <c r="L70" s="3">
        <f t="shared" si="6"/>
        <v>12.489800000000001</v>
      </c>
      <c r="M70" s="3">
        <f>IF(L70="",M69,Telai!AD66)</f>
        <v>11.65</v>
      </c>
      <c r="N70" s="3">
        <f t="shared" si="7"/>
        <v>25.744900000000001</v>
      </c>
    </row>
    <row r="71" spans="1:14">
      <c r="D71" s="3">
        <f>IF('Fy+M(Fy)'!L71="","",'Fy+M(Fy)'!L71)</f>
        <v>13.272499999999999</v>
      </c>
      <c r="E71" s="3">
        <f>IF(D71="",E70,Telai!D67)</f>
        <v>13.25</v>
      </c>
      <c r="F71" s="3">
        <f t="shared" si="4"/>
        <v>26.13625</v>
      </c>
      <c r="G71" s="3"/>
      <c r="H71" s="3">
        <f>IF('Fx+M(Fx)'!L71="","",0.3*'Fx+M(Fx)'!L71)</f>
        <v>0.59384999999999999</v>
      </c>
      <c r="I71" s="3">
        <f>IF(H71="",I70,Telai!Q67)</f>
        <v>13.25</v>
      </c>
      <c r="J71" s="3">
        <f t="shared" si="5"/>
        <v>19.796925000000002</v>
      </c>
      <c r="K71" s="3"/>
      <c r="L71" s="3">
        <f t="shared" si="6"/>
        <v>13.866349999999999</v>
      </c>
      <c r="M71" s="3">
        <f>IF(L71="",M70,Telai!AD67)</f>
        <v>13.25</v>
      </c>
      <c r="N71" s="3">
        <f t="shared" si="7"/>
        <v>26.433174999999999</v>
      </c>
    </row>
    <row r="72" spans="1:14">
      <c r="D72" s="3">
        <f>IF('Fy+M(Fy)'!L72="","",'Fy+M(Fy)'!L72)</f>
        <v>14.558</v>
      </c>
      <c r="E72" s="3">
        <f>IF(D72="",E71,Telai!D68)</f>
        <v>14.85</v>
      </c>
      <c r="F72" s="3">
        <f t="shared" si="4"/>
        <v>26.779</v>
      </c>
      <c r="G72" s="3"/>
      <c r="H72" s="3">
        <f>IF('Fx+M(Fx)'!L72="","",0.3*'Fx+M(Fx)'!L72)</f>
        <v>0.68489999999999995</v>
      </c>
      <c r="I72" s="3">
        <f>IF(H72="",I71,Telai!Q68)</f>
        <v>14.85</v>
      </c>
      <c r="J72" s="3">
        <f t="shared" si="5"/>
        <v>19.842449999999999</v>
      </c>
      <c r="K72" s="3"/>
      <c r="L72" s="3">
        <f t="shared" si="6"/>
        <v>15.242900000000001</v>
      </c>
      <c r="M72" s="3">
        <f>IF(L72="",M71,Telai!AD68)</f>
        <v>14.85</v>
      </c>
      <c r="N72" s="3">
        <f t="shared" si="7"/>
        <v>27.121449999999999</v>
      </c>
    </row>
    <row r="73" spans="1:14">
      <c r="D73" s="3">
        <f>IF('Fy+M(Fy)'!L73="","",'Fy+M(Fy)'!L73)</f>
        <v>16.390999999999998</v>
      </c>
      <c r="E73" s="3">
        <f>IF(D73="",E72,Telai!D69)</f>
        <v>16.95</v>
      </c>
      <c r="F73" s="3">
        <f t="shared" si="4"/>
        <v>27.695499999999999</v>
      </c>
      <c r="G73" s="3"/>
      <c r="H73" s="3">
        <f>IF('Fx+M(Fx)'!L73="","",0.3*'Fx+M(Fx)'!L73)</f>
        <v>0.81419999999999992</v>
      </c>
      <c r="I73" s="3">
        <f>IF(H73="",I72,Telai!Q69)</f>
        <v>16.95</v>
      </c>
      <c r="J73" s="3">
        <f t="shared" si="5"/>
        <v>19.9071</v>
      </c>
      <c r="K73" s="3"/>
      <c r="L73" s="3">
        <f t="shared" si="6"/>
        <v>17.205199999999998</v>
      </c>
      <c r="M73" s="3">
        <f>IF(L73="",M72,Telai!AD69)</f>
        <v>16.95</v>
      </c>
      <c r="N73" s="3">
        <f t="shared" si="7"/>
        <v>28.102599999999999</v>
      </c>
    </row>
    <row r="74" spans="1:14">
      <c r="D74" s="3">
        <f>IF('Fy+M(Fy)'!L74="","",'Fy+M(Fy)'!L74)</f>
        <v>18.224000000000004</v>
      </c>
      <c r="E74" s="3">
        <f>IF(D74="",E73,Telai!D70)</f>
        <v>19.05</v>
      </c>
      <c r="F74" s="3">
        <f t="shared" si="4"/>
        <v>28.612000000000002</v>
      </c>
      <c r="G74" s="3"/>
      <c r="H74" s="3">
        <f>IF('Fx+M(Fx)'!L74="","",0.3*'Fx+M(Fx)'!L74)</f>
        <v>0.94350000000000001</v>
      </c>
      <c r="I74" s="3">
        <f>IF(H74="",I73,Telai!Q70)</f>
        <v>19.05</v>
      </c>
      <c r="J74" s="3">
        <f t="shared" si="5"/>
        <v>19.97175</v>
      </c>
      <c r="K74" s="3"/>
      <c r="L74" s="3">
        <f t="shared" si="6"/>
        <v>19.167500000000004</v>
      </c>
      <c r="M74" s="3">
        <f>IF(L74="",M73,Telai!AD70)</f>
        <v>19.05</v>
      </c>
      <c r="N74" s="3">
        <f t="shared" si="7"/>
        <v>29.083750000000002</v>
      </c>
    </row>
    <row r="75" spans="1:14">
      <c r="D75" s="3">
        <f>IF('Fy+M(Fy)'!L75="","",'Fy+M(Fy)'!L75)</f>
        <v>19.875500000000002</v>
      </c>
      <c r="E75" s="3">
        <f>IF(D75="",E74,Telai!D71)</f>
        <v>20.85</v>
      </c>
      <c r="F75" s="3">
        <f t="shared" si="4"/>
        <v>29.437750000000001</v>
      </c>
      <c r="G75" s="3"/>
      <c r="H75" s="3">
        <f>IF('Fx+M(Fx)'!L75="","",0.3*'Fx+M(Fx)'!L75)</f>
        <v>1.0599000000000001</v>
      </c>
      <c r="I75" s="3">
        <f>IF(H75="",I74,Telai!Q71)</f>
        <v>20.85</v>
      </c>
      <c r="J75" s="3">
        <f t="shared" si="5"/>
        <v>20.029949999999999</v>
      </c>
      <c r="K75" s="3"/>
      <c r="L75" s="3">
        <f t="shared" si="6"/>
        <v>20.935400000000001</v>
      </c>
      <c r="M75" s="3">
        <f>IF(L75="",M74,Telai!AD71)</f>
        <v>20.85</v>
      </c>
      <c r="N75" s="3">
        <f t="shared" si="7"/>
        <v>29.967700000000001</v>
      </c>
    </row>
    <row r="76" spans="1:14">
      <c r="D76" s="3">
        <f>IF('Fy+M(Fy)'!L76="","",'Fy+M(Fy)'!L76)</f>
        <v>21.527000000000001</v>
      </c>
      <c r="E76" s="3">
        <f>IF(D76="",E75,Telai!D72)</f>
        <v>22.65</v>
      </c>
      <c r="F76" s="3">
        <f t="shared" si="4"/>
        <v>30.263500000000001</v>
      </c>
      <c r="G76" s="3"/>
      <c r="H76" s="3">
        <f>IF('Fx+M(Fx)'!L76="","",0.3*'Fx+M(Fx)'!L76)</f>
        <v>1.1763000000000001</v>
      </c>
      <c r="I76" s="3">
        <f>IF(H76="",I75,Telai!Q72)</f>
        <v>22.65</v>
      </c>
      <c r="J76" s="3">
        <f t="shared" si="5"/>
        <v>20.088149999999999</v>
      </c>
      <c r="K76" s="3"/>
      <c r="L76" s="3">
        <f t="shared" si="6"/>
        <v>22.703300000000002</v>
      </c>
      <c r="M76" s="3">
        <f>IF(L76="",M75,Telai!AD72)</f>
        <v>22.65</v>
      </c>
      <c r="N76" s="3">
        <f t="shared" si="7"/>
        <v>30.851649999999999</v>
      </c>
    </row>
    <row r="77" spans="1:14">
      <c r="D77" s="3" t="str">
        <f>IF('Fy+M(Fy)'!L77="","",'Fy+M(Fy)'!L77)</f>
        <v/>
      </c>
      <c r="E77" s="3">
        <f>IF(D77="",E76,Telai!D73)</f>
        <v>22.65</v>
      </c>
      <c r="F77" s="3">
        <f t="shared" si="4"/>
        <v>30.263500000000001</v>
      </c>
      <c r="G77" s="3"/>
      <c r="H77" s="3" t="str">
        <f>IF('Fx+M(Fx)'!L77="","",0.3*'Fx+M(Fx)'!L77)</f>
        <v/>
      </c>
      <c r="I77" s="3">
        <f>IF(H77="",I76,Telai!Q73)</f>
        <v>22.65</v>
      </c>
      <c r="J77" s="3">
        <f t="shared" si="5"/>
        <v>20.088149999999999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30.851649999999999</v>
      </c>
    </row>
    <row r="78" spans="1:14">
      <c r="D78" s="3" t="str">
        <f>IF('Fy+M(Fy)'!L78="","",'Fy+M(Fy)'!L78)</f>
        <v/>
      </c>
      <c r="E78" s="3">
        <f>IF(D78="",E77,Telai!D74)</f>
        <v>22.65</v>
      </c>
      <c r="F78" s="3">
        <f t="shared" si="4"/>
        <v>30.263500000000001</v>
      </c>
      <c r="G78" s="3"/>
      <c r="H78" s="3" t="str">
        <f>IF('Fx+M(Fx)'!L78="","",0.3*'Fx+M(Fx)'!L78)</f>
        <v/>
      </c>
      <c r="I78" s="3">
        <f>IF(H78="",I77,Telai!Q74)</f>
        <v>22.65</v>
      </c>
      <c r="J78" s="3">
        <f t="shared" si="5"/>
        <v>20.088149999999999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30.851649999999999</v>
      </c>
    </row>
    <row r="79" spans="1:14">
      <c r="D79" s="3" t="str">
        <f>IF('Fy+M(Fy)'!L79="","",'Fy+M(Fy)'!L79)</f>
        <v/>
      </c>
      <c r="E79" s="3">
        <f>IF(D79="",E78,Telai!D75)</f>
        <v>22.65</v>
      </c>
      <c r="F79" s="3">
        <f t="shared" si="4"/>
        <v>30.263500000000001</v>
      </c>
      <c r="G79" s="3"/>
      <c r="H79" s="3" t="str">
        <f>IF('Fx+M(Fx)'!L79="","",0.3*'Fx+M(Fx)'!L79)</f>
        <v/>
      </c>
      <c r="I79" s="3">
        <f>IF(H79="",I78,Telai!Q75)</f>
        <v>22.65</v>
      </c>
      <c r="J79" s="3">
        <f t="shared" si="5"/>
        <v>20.088149999999999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30.851649999999999</v>
      </c>
    </row>
    <row r="80" spans="1:14">
      <c r="D80" s="3" t="str">
        <f>IF('Fy+M(Fy)'!L80="","",'Fy+M(Fy)'!L80)</f>
        <v/>
      </c>
      <c r="E80" s="3">
        <f>IF(D80="",E79,Telai!D76)</f>
        <v>22.65</v>
      </c>
      <c r="F80" s="3">
        <f t="shared" si="4"/>
        <v>30.263500000000001</v>
      </c>
      <c r="G80" s="3"/>
      <c r="H80" s="3" t="str">
        <f>IF('Fx+M(Fx)'!L80="","",0.3*'Fx+M(Fx)'!L80)</f>
        <v/>
      </c>
      <c r="I80" s="3">
        <f>IF(H80="",I79,Telai!Q76)</f>
        <v>22.65</v>
      </c>
      <c r="J80" s="3">
        <f t="shared" si="5"/>
        <v>20.088149999999999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30.851649999999999</v>
      </c>
    </row>
    <row r="81" spans="4:14">
      <c r="D81" s="3" t="str">
        <f>IF('Fy+M(Fy)'!L81="","",'Fy+M(Fy)'!L81)</f>
        <v/>
      </c>
      <c r="E81" s="3">
        <f>IF(D81="",E80,Telai!D77)</f>
        <v>22.65</v>
      </c>
      <c r="F81" s="3">
        <f t="shared" si="4"/>
        <v>30.263500000000001</v>
      </c>
      <c r="G81" s="3"/>
      <c r="H81" s="3" t="str">
        <f>IF('Fx+M(Fx)'!L81="","",0.3*'Fx+M(Fx)'!L81)</f>
        <v/>
      </c>
      <c r="I81" s="3">
        <f>IF(H81="",I80,Telai!Q77)</f>
        <v>22.65</v>
      </c>
      <c r="J81" s="3">
        <f t="shared" si="5"/>
        <v>20.088149999999999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30.851649999999999</v>
      </c>
    </row>
    <row r="82" spans="4:14">
      <c r="D82" s="3" t="str">
        <f>IF('Fy+M(Fy)'!L82="","",'Fy+M(Fy)'!L82)</f>
        <v/>
      </c>
      <c r="E82" s="3">
        <f>IF(D82="",E81,Telai!D78)</f>
        <v>22.65</v>
      </c>
      <c r="F82" s="3">
        <f t="shared" si="4"/>
        <v>30.263500000000001</v>
      </c>
      <c r="G82" s="3"/>
      <c r="H82" s="3" t="str">
        <f>IF('Fx+M(Fx)'!L82="","",0.3*'Fx+M(Fx)'!L82)</f>
        <v/>
      </c>
      <c r="I82" s="3">
        <f>IF(H82="",I81,Telai!Q78)</f>
        <v>22.65</v>
      </c>
      <c r="J82" s="3">
        <f t="shared" si="5"/>
        <v>20.088149999999999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30.851649999999999</v>
      </c>
    </row>
    <row r="83" spans="4:14">
      <c r="D83" s="3" t="str">
        <f>IF('Fy+M(Fy)'!L83="","",'Fy+M(Fy)'!L83)</f>
        <v/>
      </c>
      <c r="E83" s="3">
        <f>IF(D83="",E82,Telai!D79)</f>
        <v>22.65</v>
      </c>
      <c r="F83" s="3">
        <f t="shared" si="4"/>
        <v>30.263500000000001</v>
      </c>
      <c r="G83" s="3"/>
      <c r="H83" s="3" t="str">
        <f>IF('Fx+M(Fx)'!L83="","",0.3*'Fx+M(Fx)'!L83)</f>
        <v/>
      </c>
      <c r="I83" s="3">
        <f>IF(H83="",I82,Telai!Q79)</f>
        <v>22.65</v>
      </c>
      <c r="J83" s="3">
        <f t="shared" si="5"/>
        <v>20.088149999999999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30.851649999999999</v>
      </c>
    </row>
    <row r="84" spans="4:14">
      <c r="D84" s="3" t="str">
        <f>IF('Fy+M(Fy)'!L84="","",'Fy+M(Fy)'!L84)</f>
        <v/>
      </c>
      <c r="E84" s="3">
        <f>IF(D84="",E83,Telai!D80)</f>
        <v>22.65</v>
      </c>
      <c r="F84" s="3">
        <f t="shared" si="4"/>
        <v>30.263500000000001</v>
      </c>
      <c r="G84" s="3"/>
      <c r="H84" s="3" t="str">
        <f>IF('Fx+M(Fx)'!L84="","",0.3*'Fx+M(Fx)'!L84)</f>
        <v/>
      </c>
      <c r="I84" s="3">
        <f>IF(H84="",I83,Telai!Q80)</f>
        <v>22.65</v>
      </c>
      <c r="J84" s="3">
        <f t="shared" si="5"/>
        <v>20.088149999999999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30.851649999999999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BK73"/>
  <sheetViews>
    <sheetView workbookViewId="0">
      <selection activeCell="L40" sqref="L40"/>
    </sheetView>
  </sheetViews>
  <sheetFormatPr defaultColWidth="9.140625" defaultRowHeight="12.75"/>
  <cols>
    <col min="1" max="2" width="9.140625" style="1"/>
    <col min="3" max="3" width="9.28515625" style="1" bestFit="1" customWidth="1"/>
    <col min="4" max="5" width="9.42578125" style="1" bestFit="1" customWidth="1"/>
    <col min="6" max="32" width="9.28515625" style="1" bestFit="1" customWidth="1"/>
    <col min="33" max="16384" width="9.140625" style="1"/>
  </cols>
  <sheetData>
    <row r="1" spans="1:32">
      <c r="A1" s="1" t="s">
        <v>21</v>
      </c>
      <c r="B1" s="1">
        <f>SPI!D2</f>
        <v>5</v>
      </c>
    </row>
    <row r="3" spans="1:32">
      <c r="A3" s="10" t="s">
        <v>42</v>
      </c>
    </row>
    <row r="4" spans="1:3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>
      <c r="A6" s="4">
        <f>B44</f>
        <v>5</v>
      </c>
      <c r="B6" s="4" t="s">
        <v>0</v>
      </c>
      <c r="C6" s="29">
        <f>IF(ABS(D$44)&gt;ABS(E$44),D44,E44)</f>
        <v>5.7009999999999996</v>
      </c>
      <c r="D6" s="29">
        <f>IF(ABS(F$44)&gt;ABS(G$44),F44,G44)</f>
        <v>12.236000000000001</v>
      </c>
      <c r="E6" s="29">
        <f>IF(ABS(H$44)&gt;ABS(I$44),H44,I44)</f>
        <v>-2.5720000000000001</v>
      </c>
      <c r="F6" s="29">
        <f>IF(ABS(J$44)&gt;ABS(K$44),J44,K44)</f>
        <v>-0.21909999999999999</v>
      </c>
      <c r="G6" s="29">
        <f>IF(ABS(L$44)&gt;ABS(M$44),L44,M44)</f>
        <v>-0.4002</v>
      </c>
      <c r="H6" s="29">
        <f>IF(ABS(N$44)&gt;ABS(O$44),N44,O44)</f>
        <v>0.10352</v>
      </c>
      <c r="I6" s="29">
        <f>IF(ABS(P$44)&gt;ABS(Q$44),P44,Q44)</f>
        <v>5.9679999999999997E-2</v>
      </c>
      <c r="J6" s="29">
        <f>IF(ABS(R$44)&gt;ABS(S$44),R44,S44)</f>
        <v>5.5459000000000001E-2</v>
      </c>
      <c r="K6" s="29">
        <f>IF(ABS(T$44)&gt;ABS(U$44),T44,U44)</f>
        <v>-1.8419999999999999E-2</v>
      </c>
      <c r="L6" s="29">
        <f>IF(ABS(V$44)&gt;ABS(W$44),V44,W44)</f>
        <v>-1.8780000000000002E-2</v>
      </c>
      <c r="M6" s="29">
        <f>IF(ABS(X$44)&gt;ABS(Y$44),X44,Y44)</f>
        <v>3.5663000000000001E-3</v>
      </c>
      <c r="N6" s="29">
        <f>IF(ABS(Z$44)&gt;ABS(AA$44),Z44,AA44)</f>
        <v>2.8427999999999999E-3</v>
      </c>
      <c r="O6" s="29">
        <f>IF(ABS(AB$44)&gt;ABS(AC$44),AB44,AC44)</f>
        <v>2.2994999999999999E-3</v>
      </c>
      <c r="P6" s="29">
        <f>IF(ABS(AD$44)&gt;ABS(AE$44),AD44,AE44)</f>
        <v>-6.9200000000000002E-4</v>
      </c>
      <c r="Q6" s="29">
        <f>IF(ABS(AF$44)&gt;ABS(AG$44),AF44,AG44)</f>
        <v>-1.4990000000000001E-4</v>
      </c>
      <c r="R6" s="29">
        <f>IF(ABS(AH$44)&gt;ABS(AI$44),AH44,AI44)</f>
        <v>0</v>
      </c>
      <c r="S6" s="29">
        <f>IF(ABS(AJ$44)&gt;ABS(AK$44),AJ44,AK44)</f>
        <v>0</v>
      </c>
      <c r="T6" s="29">
        <f>IF(ABS(AL$44)&gt;ABS(AM$44),AL44,AM44)</f>
        <v>0</v>
      </c>
      <c r="U6" s="29">
        <f>IF(ABS(AN$44)&gt;ABS(AO$44),AN44,AO44)</f>
        <v>0</v>
      </c>
      <c r="V6" s="29">
        <f>IF(ABS(AP$44)&gt;ABS(AQ$44),AP44,AQ44)</f>
        <v>0</v>
      </c>
      <c r="W6" s="29">
        <f>IF(ABS(AR$44)&gt;ABS(AS$44),AR44,AS44)</f>
        <v>0</v>
      </c>
      <c r="X6" s="29">
        <f>IF(ABS(AT$44)&gt;ABS(AU$44),AT44,AU44)</f>
        <v>0</v>
      </c>
      <c r="Y6" s="29">
        <f>IF(ABS(AV$44)&gt;ABS(AW$44),AV44,AW44)</f>
        <v>0</v>
      </c>
      <c r="Z6" s="29">
        <f>IF(ABS(AX$44)&gt;ABS(AY$44),AX44,AY44)</f>
        <v>0</v>
      </c>
      <c r="AA6" s="29">
        <f>IF(ABS(AZ$44)&gt;ABS(BA$44),AZ44,BA44)</f>
        <v>0</v>
      </c>
      <c r="AB6" s="29">
        <f>IF(ABS(BB$44)&gt;ABS(BC$44),BB44,BC44)</f>
        <v>0</v>
      </c>
      <c r="AC6" s="29">
        <f>IF(ABS(BD$44)&gt;ABS(BE$44),BD44,BE44)</f>
        <v>0</v>
      </c>
      <c r="AD6" s="29">
        <f>IF(ABS(BF$44)&gt;ABS(BG$44),BF44,BG44)</f>
        <v>0</v>
      </c>
      <c r="AE6" s="29">
        <f>IF(ABS(BH$44)&gt;ABS(BI$44),BH44,BI44)</f>
        <v>0</v>
      </c>
      <c r="AF6" s="29">
        <f>IF(ABS(BJ$44)&gt;ABS(BK$44),BJ44,BK44)</f>
        <v>0</v>
      </c>
    </row>
    <row r="7" spans="1:32">
      <c r="A7" s="4"/>
      <c r="B7" s="4" t="s">
        <v>1</v>
      </c>
      <c r="C7" s="29">
        <f>IF(ABS(D$44)&gt;ABS(E$44),D45,E45)</f>
        <v>2.2751000000000001</v>
      </c>
      <c r="D7" s="29">
        <f>IF(ABS(F$44)&gt;ABS(G$44),F45,G45)</f>
        <v>-1.4470000000000001</v>
      </c>
      <c r="E7" s="29">
        <f>IF(ABS(H$44)&gt;ABS(I$44),H45,I45)</f>
        <v>7.6196999999999999</v>
      </c>
      <c r="F7" s="29">
        <f>IF(ABS(J$44)&gt;ABS(K$44),J45,K45)</f>
        <v>-0.104</v>
      </c>
      <c r="G7" s="29">
        <f>IF(ABS(L$44)&gt;ABS(M$44),L45,M45)</f>
        <v>6.7053000000000001E-2</v>
      </c>
      <c r="H7" s="29">
        <f>IF(ABS(N$44)&gt;ABS(O$44),N45,O45)</f>
        <v>-0.28129999999999999</v>
      </c>
      <c r="I7" s="29">
        <f>IF(ABS(P$44)&gt;ABS(Q$44),P45,Q45)</f>
        <v>2.2273999999999999E-2</v>
      </c>
      <c r="J7" s="29">
        <f>IF(ABS(R$44)&gt;ABS(S$44),R45,S45)</f>
        <v>-3.0360000000000002E-2</v>
      </c>
      <c r="K7" s="29">
        <f>IF(ABS(T$44)&gt;ABS(U$44),T45,U45)</f>
        <v>4.5489000000000002E-2</v>
      </c>
      <c r="L7" s="29">
        <f>IF(ABS(V$44)&gt;ABS(W$44),V45,W45)</f>
        <v>-2.6210000000000001E-3</v>
      </c>
      <c r="M7" s="29">
        <f>IF(ABS(X$44)&gt;ABS(Y$44),X45,Y45)</f>
        <v>-1.304E-2</v>
      </c>
      <c r="N7" s="29">
        <f>IF(ABS(Z$44)&gt;ABS(AA$44),Z45,AA45)</f>
        <v>-6.1869999999999998E-3</v>
      </c>
      <c r="O7" s="29">
        <f>IF(ABS(AB$44)&gt;ABS(AC$44),AB45,AC45)</f>
        <v>1.3144000000000001E-3</v>
      </c>
      <c r="P7" s="29">
        <f>IF(ABS(AD$44)&gt;ABS(AE$44),AD45,AE45)</f>
        <v>2.908E-3</v>
      </c>
      <c r="Q7" s="29">
        <f>IF(ABS(AF$44)&gt;ABS(AG$44),AF45,AG45)</f>
        <v>4.3885000000000001E-4</v>
      </c>
      <c r="R7" s="29">
        <f>IF(ABS(AH$44)&gt;ABS(AI$44),AH45,AI45)</f>
        <v>0</v>
      </c>
      <c r="S7" s="29">
        <f>IF(ABS(AJ$44)&gt;ABS(AK$44),AJ45,AK45)</f>
        <v>0</v>
      </c>
      <c r="T7" s="29">
        <f>IF(ABS(AL$44)&gt;ABS(AM$44),AL45,AM45)</f>
        <v>0</v>
      </c>
      <c r="U7" s="29">
        <f>IF(ABS(AN$44)&gt;ABS(AO$44),AN45,AO45)</f>
        <v>0</v>
      </c>
      <c r="V7" s="29">
        <f>IF(ABS(AP$44)&gt;ABS(AQ$44),AP45,AQ45)</f>
        <v>0</v>
      </c>
      <c r="W7" s="29">
        <f>IF(ABS(AR$44)&gt;ABS(AS$44),AR45,AS45)</f>
        <v>0</v>
      </c>
      <c r="X7" s="29">
        <f>IF(ABS(AT$44)&gt;ABS(AU$44),AT45,AU45)</f>
        <v>0</v>
      </c>
      <c r="Y7" s="29">
        <f>IF(ABS(AV$44)&gt;ABS(AW$44),AV45,AW45)</f>
        <v>0</v>
      </c>
      <c r="Z7" s="29">
        <f>IF(ABS(AX$44)&gt;ABS(AY$44),AX45,AY45)</f>
        <v>0</v>
      </c>
      <c r="AA7" s="29">
        <f>IF(ABS(AZ$44)&gt;ABS(BA$44),AZ45,BA45)</f>
        <v>0</v>
      </c>
      <c r="AB7" s="29">
        <f>IF(ABS(BB$44)&gt;ABS(BC$44),BB45,BC45)</f>
        <v>0</v>
      </c>
      <c r="AC7" s="29">
        <f>IF(ABS(BD$44)&gt;ABS(BE$44),BD45,BE45)</f>
        <v>0</v>
      </c>
      <c r="AD7" s="29">
        <f>IF(ABS(BF$44)&gt;ABS(BG$44),BF45,BG45)</f>
        <v>0</v>
      </c>
      <c r="AE7" s="29">
        <f>IF(ABS(BH$44)&gt;ABS(BI$44),BH45,BI45)</f>
        <v>0</v>
      </c>
      <c r="AF7" s="29">
        <f>IF(ABS(BJ$44)&gt;ABS(BK$44),BJ45,BK45)</f>
        <v>0</v>
      </c>
    </row>
    <row r="8" spans="1:32">
      <c r="A8" s="13"/>
      <c r="B8" s="13" t="s">
        <v>2</v>
      </c>
      <c r="C8" s="30">
        <f>IF(ABS(D$44)&gt;ABS(E$44),D46,E46)</f>
        <v>0.72106999999999999</v>
      </c>
      <c r="D8" s="30">
        <f>IF(ABS(F$44)&gt;ABS(G$44),F46,G46)</f>
        <v>-4.8090000000000001E-2</v>
      </c>
      <c r="E8" s="30">
        <f>IF(ABS(H$44)&gt;ABS(I$44),H46,I46)</f>
        <v>-0.504</v>
      </c>
      <c r="F8" s="30">
        <f>IF(ABS(J$44)&gt;ABS(K$44),J46,K46)</f>
        <v>-2.3699999999999999E-2</v>
      </c>
      <c r="G8" s="30">
        <f>IF(ABS(L$44)&gt;ABS(M$44),L46,M46)</f>
        <v>2.1050999999999999E-3</v>
      </c>
      <c r="H8" s="30">
        <f>IF(ABS(N$44)&gt;ABS(O$44),N46,O46)</f>
        <v>1.9689000000000002E-2</v>
      </c>
      <c r="I8" s="30">
        <f>IF(ABS(P$44)&gt;ABS(Q$44),P46,Q46)</f>
        <v>3.0466999999999998E-3</v>
      </c>
      <c r="J8" s="30">
        <f>IF(ABS(R$44)&gt;ABS(S$44),R46,S46)</f>
        <v>-1.3829999999999999E-3</v>
      </c>
      <c r="K8" s="30">
        <f>IF(ABS(T$44)&gt;ABS(U$44),T46,U46)</f>
        <v>-3.4780000000000002E-3</v>
      </c>
      <c r="L8" s="30">
        <f>IF(ABS(V$44)&gt;ABS(W$44),V46,W46)</f>
        <v>-2.6049999999999999E-4</v>
      </c>
      <c r="M8" s="30">
        <f>IF(ABS(X$44)&gt;ABS(Y$44),X46,Y46)</f>
        <v>-3.1579999999999998E-4</v>
      </c>
      <c r="N8" s="30">
        <f>IF(ABS(Z$44)&gt;ABS(AA$44),Z46,AA46)</f>
        <v>5.2044999999999999E-4</v>
      </c>
      <c r="O8" s="30">
        <f>IF(ABS(AB$44)&gt;ABS(AC$44),AB46,AC46)</f>
        <v>-6.9880000000000002E-5</v>
      </c>
      <c r="P8" s="30">
        <f>IF(ABS(AD$44)&gt;ABS(AE$44),AD46,AE46)</f>
        <v>-2.3920000000000001E-5</v>
      </c>
      <c r="Q8" s="30">
        <f>IF(ABS(AF$44)&gt;ABS(AG$44),AF46,AG46)</f>
        <v>-3.6000000000000001E-5</v>
      </c>
      <c r="R8" s="30">
        <f>IF(ABS(AH$44)&gt;ABS(AI$44),AH46,AI46)</f>
        <v>0</v>
      </c>
      <c r="S8" s="30">
        <f>IF(ABS(AJ$44)&gt;ABS(AK$44),AJ46,AK46)</f>
        <v>0</v>
      </c>
      <c r="T8" s="30">
        <f>IF(ABS(AL$44)&gt;ABS(AM$44),AL46,AM46)</f>
        <v>0</v>
      </c>
      <c r="U8" s="30">
        <f>IF(ABS(AN$44)&gt;ABS(AO$44),AN46,AO46)</f>
        <v>0</v>
      </c>
      <c r="V8" s="30">
        <f>IF(ABS(AP$44)&gt;ABS(AQ$44),AP46,AQ46)</f>
        <v>0</v>
      </c>
      <c r="W8" s="30">
        <f>IF(ABS(AR$44)&gt;ABS(AS$44),AR46,AS46)</f>
        <v>0</v>
      </c>
      <c r="X8" s="30">
        <f>IF(ABS(AT$44)&gt;ABS(AU$44),AT46,AU46)</f>
        <v>0</v>
      </c>
      <c r="Y8" s="30">
        <f>IF(ABS(AV$44)&gt;ABS(AW$44),AV46,AW46)</f>
        <v>0</v>
      </c>
      <c r="Z8" s="30">
        <f>IF(ABS(AX$44)&gt;ABS(AY$44),AX46,AY46)</f>
        <v>0</v>
      </c>
      <c r="AA8" s="30">
        <f>IF(ABS(AZ$44)&gt;ABS(BA$44),AZ46,BA46)</f>
        <v>0</v>
      </c>
      <c r="AB8" s="30">
        <f>IF(ABS(BB$44)&gt;ABS(BC$44),BB46,BC46)</f>
        <v>0</v>
      </c>
      <c r="AC8" s="30">
        <f>IF(ABS(BD$44)&gt;ABS(BE$44),BD46,BE46)</f>
        <v>0</v>
      </c>
      <c r="AD8" s="30">
        <f>IF(ABS(BF$44)&gt;ABS(BG$44),BF46,BG46)</f>
        <v>0</v>
      </c>
      <c r="AE8" s="30">
        <f>IF(ABS(BH$44)&gt;ABS(BI$44),BH46,BI46)</f>
        <v>0</v>
      </c>
      <c r="AF8" s="30">
        <f>IF(ABS(BJ$44)&gt;ABS(BK$44),BJ46,BK46)</f>
        <v>0</v>
      </c>
    </row>
    <row r="9" spans="1:32">
      <c r="A9" s="4">
        <f>IF(B47="","",B47)</f>
        <v>4</v>
      </c>
      <c r="B9" s="4" t="str">
        <f>IF(A47="","","Vx")</f>
        <v>Vx</v>
      </c>
      <c r="C9" s="29">
        <f t="shared" ref="C9:C35" si="2">IF(A47="","",IF(ABS(D$44)&gt;ABS(E$44),D47,E47))</f>
        <v>5.0602999999999998</v>
      </c>
      <c r="D9" s="29">
        <f t="shared" ref="D9:D35" si="3">IF(D47="","",IF(ABS(F$44)&gt;ABS(G$44),F47,G47))</f>
        <v>10.951000000000001</v>
      </c>
      <c r="E9" s="29">
        <f t="shared" ref="E9:E35" si="4">IF(F47="","",IF(ABS(H$44)&gt;ABS(I$44),H47,I47))</f>
        <v>-2.3109999999999999</v>
      </c>
      <c r="F9" s="29">
        <f t="shared" ref="F9:F35" si="5">IF(H47="","",IF(ABS(J$44)&gt;ABS(K$44),J47,K47))</f>
        <v>-3.8280000000000002E-2</v>
      </c>
      <c r="G9" s="29">
        <f t="shared" ref="G9:G35" si="6">IF(J47="","",IF(ABS(L$44)&gt;ABS(M$44),L47,M47))</f>
        <v>-7.7369999999999994E-2</v>
      </c>
      <c r="H9" s="29">
        <f t="shared" ref="H9:H35" si="7">IF(L47="","",IF(ABS(N$44)&gt;ABS(O$44),N47,O47))</f>
        <v>2.1111000000000001E-2</v>
      </c>
      <c r="I9" s="29">
        <f t="shared" ref="I9:I35" si="8">IF(N47="","",IF(ABS(P$44)&gt;ABS(Q$44),P47,Q47))</f>
        <v>-5.4879999999999998E-2</v>
      </c>
      <c r="J9" s="29">
        <f t="shared" ref="J9:J35" si="9">IF(P47="","",IF(ABS(R$44)&gt;ABS(S$44),R47,S47))</f>
        <v>-4.9680000000000002E-2</v>
      </c>
      <c r="K9" s="29">
        <f t="shared" ref="K9:K35" si="10">IF(R47="","",IF(ABS(T$44)&gt;ABS(U$44),T47,U47))</f>
        <v>1.6389000000000001E-2</v>
      </c>
      <c r="L9" s="29">
        <f t="shared" ref="L9:L35" si="11">IF(T47="","",IF(ABS(V$44)&gt;ABS(W$44),V47,W47))</f>
        <v>3.9829000000000003E-2</v>
      </c>
      <c r="M9" s="29">
        <f t="shared" ref="M9:M35" si="12">IF(V47="","",IF(ABS(X$44)&gt;ABS(Y$44),X47,Y47))</f>
        <v>-6.9350000000000002E-3</v>
      </c>
      <c r="N9" s="29">
        <f t="shared" ref="N9:N35" si="13">IF(X47="","",IF(ABS(Z$44)&gt;ABS(AA$44),Z47,AA47))</f>
        <v>-5.8789999999999997E-3</v>
      </c>
      <c r="O9" s="29">
        <f t="shared" ref="O9:O35" si="14">IF(Z47="","",IF(ABS(AB$44)&gt;ABS(AC$44),AB47,AC47))</f>
        <v>-7.2160000000000002E-3</v>
      </c>
      <c r="P9" s="29">
        <f t="shared" ref="P9:P35" si="15">IF(AB47="","",IF(ABS(AD$44)&gt;ABS(AE$44),AD47,AE47))</f>
        <v>1.8495E-3</v>
      </c>
      <c r="Q9" s="29">
        <f t="shared" ref="Q9:Q35" si="16">IF(AD47="","",IF(ABS(AF$44)&gt;ABS(AG$44),AF47,AG47))</f>
        <v>3.9501E-4</v>
      </c>
      <c r="R9" s="29">
        <f t="shared" ref="R9:R35" si="17">IF(AF47="","",IF(ABS(AH$44)&gt;ABS(AI$44),AH47,AI47))</f>
        <v>0</v>
      </c>
      <c r="S9" s="29">
        <f t="shared" ref="S9:S35" si="18">IF(AH47="","",IF(ABS(AJ$44)&gt;ABS(AK$44),AJ47,AK47))</f>
        <v>0</v>
      </c>
      <c r="T9" s="29">
        <f t="shared" ref="T9:T35" si="19">IF(AJ47="","",IF(ABS(AL$44)&gt;ABS(AM$44),AL47,AM47))</f>
        <v>0</v>
      </c>
      <c r="U9" s="29">
        <f t="shared" ref="U9:U35" si="20">IF(AL47="","",IF(ABS(AN$44)&gt;ABS(AO$44),AN47,AO47))</f>
        <v>0</v>
      </c>
      <c r="V9" s="29">
        <f t="shared" ref="V9:V35" si="21">IF(AN47="","",IF(ABS(AP$44)&gt;ABS(AQ$44),AP47,AQ47))</f>
        <v>0</v>
      </c>
      <c r="W9" s="29">
        <f t="shared" ref="W9:W35" si="22">IF(AP47="","",IF(ABS(AR$44)&gt;ABS(AS$44),AR47,AS47))</f>
        <v>0</v>
      </c>
      <c r="X9" s="29">
        <f t="shared" ref="X9:X35" si="23">IF(AR47="","",IF(ABS(AT$44)&gt;ABS(AU$44),AT47,AU47))</f>
        <v>0</v>
      </c>
      <c r="Y9" s="29">
        <f t="shared" ref="Y9:Y35" si="24">IF(AT47="","",IF(ABS(AV$44)&gt;ABS(AW$44),AV47,AW47))</f>
        <v>0</v>
      </c>
      <c r="Z9" s="29">
        <f t="shared" ref="Z9:Z35" si="25">IF(AV47="","",IF(ABS(AX$44)&gt;ABS(AY$44),AX47,AY47))</f>
        <v>0</v>
      </c>
      <c r="AA9" s="29">
        <f t="shared" ref="AA9:AA35" si="26">IF(AX47="","",IF(ABS(AZ$44)&gt;ABS(BA$44),AZ47,BA47))</f>
        <v>0</v>
      </c>
      <c r="AB9" s="29">
        <f t="shared" ref="AB9:AB35" si="27">IF(AZ47="","",IF(ABS(BB$44)&gt;ABS(BC$44),BB47,BC47))</f>
        <v>0</v>
      </c>
      <c r="AC9" s="29">
        <f t="shared" ref="AC9:AC35" si="28">IF(BB47="","",IF(ABS(BD$44)&gt;ABS(BE$44),BD47,BE47))</f>
        <v>0</v>
      </c>
      <c r="AD9" s="29">
        <f t="shared" ref="AD9:AD35" si="29">IF(BD47="","",IF(ABS(BF$44)&gt;ABS(BG$44),BF47,BG47))</f>
        <v>0</v>
      </c>
      <c r="AE9" s="29">
        <f t="shared" ref="AE9:AE35" si="30">IF(BF47="","",IF(ABS(BH$44)&gt;ABS(BI$44),BH47,BI47))</f>
        <v>0</v>
      </c>
      <c r="AF9" s="29">
        <f t="shared" ref="AF9:AF35" si="31">IF(BH47="","",IF(ABS(BJ$44)&gt;ABS(BK$44),BJ47,BK47))</f>
        <v>0</v>
      </c>
    </row>
    <row r="10" spans="1:32">
      <c r="A10" s="4"/>
      <c r="B10" s="4" t="str">
        <f>IF(A48="","","Vy")</f>
        <v>Vy</v>
      </c>
      <c r="C10" s="29">
        <f t="shared" si="2"/>
        <v>2.056</v>
      </c>
      <c r="D10" s="29">
        <f t="shared" si="3"/>
        <v>-1.3440000000000001</v>
      </c>
      <c r="E10" s="29">
        <f t="shared" si="4"/>
        <v>6.8113000000000001</v>
      </c>
      <c r="F10" s="29">
        <f t="shared" si="5"/>
        <v>-1.9380000000000001E-2</v>
      </c>
      <c r="G10" s="29">
        <f t="shared" si="6"/>
        <v>1.8145999999999999E-2</v>
      </c>
      <c r="H10" s="29">
        <f t="shared" si="7"/>
        <v>-5.6230000000000002E-2</v>
      </c>
      <c r="I10" s="29">
        <f t="shared" si="8"/>
        <v>-2.044E-2</v>
      </c>
      <c r="J10" s="29">
        <f t="shared" si="9"/>
        <v>2.6501E-2</v>
      </c>
      <c r="K10" s="29">
        <f t="shared" si="10"/>
        <v>-3.9309999999999998E-2</v>
      </c>
      <c r="L10" s="29">
        <f t="shared" si="11"/>
        <v>4.6689000000000001E-3</v>
      </c>
      <c r="M10" s="29">
        <f t="shared" si="12"/>
        <v>2.6445E-2</v>
      </c>
      <c r="N10" s="29">
        <f t="shared" si="13"/>
        <v>1.2363000000000001E-2</v>
      </c>
      <c r="O10" s="29">
        <f t="shared" si="14"/>
        <v>-2.911E-3</v>
      </c>
      <c r="P10" s="29">
        <f t="shared" si="15"/>
        <v>-8.1399999999999997E-3</v>
      </c>
      <c r="Q10" s="29">
        <f t="shared" si="16"/>
        <v>-1.255E-3</v>
      </c>
      <c r="R10" s="29">
        <f t="shared" si="17"/>
        <v>0</v>
      </c>
      <c r="S10" s="29">
        <f t="shared" si="18"/>
        <v>0</v>
      </c>
      <c r="T10" s="29">
        <f t="shared" si="19"/>
        <v>0</v>
      </c>
      <c r="U10" s="29">
        <f t="shared" si="20"/>
        <v>0</v>
      </c>
      <c r="V10" s="29">
        <f t="shared" si="21"/>
        <v>0</v>
      </c>
      <c r="W10" s="29">
        <f t="shared" si="22"/>
        <v>0</v>
      </c>
      <c r="X10" s="29">
        <f t="shared" si="23"/>
        <v>0</v>
      </c>
      <c r="Y10" s="29">
        <f t="shared" si="24"/>
        <v>0</v>
      </c>
      <c r="Z10" s="29">
        <f t="shared" si="25"/>
        <v>0</v>
      </c>
      <c r="AA10" s="29">
        <f t="shared" si="26"/>
        <v>0</v>
      </c>
      <c r="AB10" s="29">
        <f t="shared" si="27"/>
        <v>0</v>
      </c>
      <c r="AC10" s="29">
        <f t="shared" si="28"/>
        <v>0</v>
      </c>
      <c r="AD10" s="29">
        <f t="shared" si="29"/>
        <v>0</v>
      </c>
      <c r="AE10" s="29">
        <f t="shared" si="30"/>
        <v>0</v>
      </c>
      <c r="AF10" s="29">
        <f t="shared" si="31"/>
        <v>0</v>
      </c>
    </row>
    <row r="11" spans="1:32">
      <c r="A11" s="13"/>
      <c r="B11" s="13" t="str">
        <f>IF(A49="","","Rot")</f>
        <v>Rot</v>
      </c>
      <c r="C11" s="30">
        <f t="shared" si="2"/>
        <v>0.63470000000000004</v>
      </c>
      <c r="D11" s="30">
        <f t="shared" si="3"/>
        <v>-3.6110000000000003E-2</v>
      </c>
      <c r="E11" s="30">
        <f t="shared" si="4"/>
        <v>-0.44900000000000001</v>
      </c>
      <c r="F11" s="30">
        <f t="shared" si="5"/>
        <v>-3.6779999999999998E-3</v>
      </c>
      <c r="G11" s="30">
        <f t="shared" si="6"/>
        <v>-3.122E-4</v>
      </c>
      <c r="H11" s="30">
        <f t="shared" si="7"/>
        <v>3.7171000000000001E-3</v>
      </c>
      <c r="I11" s="30">
        <f t="shared" si="8"/>
        <v>-2.8639999999999998E-3</v>
      </c>
      <c r="J11" s="30">
        <f t="shared" si="9"/>
        <v>1.4372E-3</v>
      </c>
      <c r="K11" s="30">
        <f t="shared" si="10"/>
        <v>3.0571000000000001E-3</v>
      </c>
      <c r="L11" s="30">
        <f t="shared" si="11"/>
        <v>6.2111000000000002E-4</v>
      </c>
      <c r="M11" s="30">
        <f t="shared" si="12"/>
        <v>7.5893E-4</v>
      </c>
      <c r="N11" s="30">
        <f t="shared" si="13"/>
        <v>-1.0480000000000001E-3</v>
      </c>
      <c r="O11" s="30">
        <f t="shared" si="14"/>
        <v>1.2528999999999999E-4</v>
      </c>
      <c r="P11" s="30">
        <f t="shared" si="15"/>
        <v>2.9560000000000002E-5</v>
      </c>
      <c r="Q11" s="30">
        <f t="shared" si="16"/>
        <v>1.0077E-4</v>
      </c>
      <c r="R11" s="30">
        <f t="shared" si="17"/>
        <v>0</v>
      </c>
      <c r="S11" s="30">
        <f t="shared" si="18"/>
        <v>0</v>
      </c>
      <c r="T11" s="30">
        <f t="shared" si="19"/>
        <v>0</v>
      </c>
      <c r="U11" s="30">
        <f t="shared" si="20"/>
        <v>0</v>
      </c>
      <c r="V11" s="30">
        <f t="shared" si="21"/>
        <v>0</v>
      </c>
      <c r="W11" s="30">
        <f t="shared" si="22"/>
        <v>0</v>
      </c>
      <c r="X11" s="30">
        <f t="shared" si="23"/>
        <v>0</v>
      </c>
      <c r="Y11" s="30">
        <f t="shared" si="24"/>
        <v>0</v>
      </c>
      <c r="Z11" s="30">
        <f t="shared" si="25"/>
        <v>0</v>
      </c>
      <c r="AA11" s="30">
        <f t="shared" si="26"/>
        <v>0</v>
      </c>
      <c r="AB11" s="30">
        <f t="shared" si="27"/>
        <v>0</v>
      </c>
      <c r="AC11" s="30">
        <f t="shared" si="28"/>
        <v>0</v>
      </c>
      <c r="AD11" s="30">
        <f t="shared" si="29"/>
        <v>0</v>
      </c>
      <c r="AE11" s="30">
        <f t="shared" si="30"/>
        <v>0</v>
      </c>
      <c r="AF11" s="30">
        <f t="shared" si="31"/>
        <v>0</v>
      </c>
    </row>
    <row r="12" spans="1:32">
      <c r="A12" s="4">
        <f>IF(B50="","",B50)</f>
        <v>3</v>
      </c>
      <c r="B12" s="4" t="str">
        <f>IF(A50="","","Vx")</f>
        <v>Vx</v>
      </c>
      <c r="C12" s="29">
        <f t="shared" si="2"/>
        <v>4.0674000000000001</v>
      </c>
      <c r="D12" s="29">
        <f t="shared" si="3"/>
        <v>8.8989999999999991</v>
      </c>
      <c r="E12" s="29">
        <f t="shared" si="4"/>
        <v>-1.8839999999999999</v>
      </c>
      <c r="F12" s="29">
        <f t="shared" si="5"/>
        <v>0.14079</v>
      </c>
      <c r="G12" s="29">
        <f t="shared" si="6"/>
        <v>0.25557999999999997</v>
      </c>
      <c r="H12" s="29">
        <f t="shared" si="7"/>
        <v>-6.3930000000000001E-2</v>
      </c>
      <c r="I12" s="29">
        <f t="shared" si="8"/>
        <v>-5.4170000000000003E-2</v>
      </c>
      <c r="J12" s="29">
        <f t="shared" si="9"/>
        <v>-5.5989999999999998E-2</v>
      </c>
      <c r="K12" s="29">
        <f t="shared" si="10"/>
        <v>1.4916E-2</v>
      </c>
      <c r="L12" s="29">
        <f t="shared" si="11"/>
        <v>-2.5489999999999999E-2</v>
      </c>
      <c r="M12" s="29">
        <f t="shared" si="12"/>
        <v>1.3305999999999999E-3</v>
      </c>
      <c r="N12" s="29">
        <f t="shared" si="13"/>
        <v>4.8953E-3</v>
      </c>
      <c r="O12" s="29">
        <f t="shared" si="14"/>
        <v>1.2135E-2</v>
      </c>
      <c r="P12" s="29">
        <f t="shared" si="15"/>
        <v>-2.1410000000000001E-3</v>
      </c>
      <c r="Q12" s="29">
        <f t="shared" si="16"/>
        <v>-6.2660000000000005E-4</v>
      </c>
      <c r="R12" s="29">
        <f t="shared" si="17"/>
        <v>0</v>
      </c>
      <c r="S12" s="29">
        <f t="shared" si="18"/>
        <v>0</v>
      </c>
      <c r="T12" s="29">
        <f t="shared" si="19"/>
        <v>0</v>
      </c>
      <c r="U12" s="29">
        <f t="shared" si="20"/>
        <v>0</v>
      </c>
      <c r="V12" s="29">
        <f t="shared" si="21"/>
        <v>0</v>
      </c>
      <c r="W12" s="29">
        <f t="shared" si="22"/>
        <v>0</v>
      </c>
      <c r="X12" s="29">
        <f t="shared" si="23"/>
        <v>0</v>
      </c>
      <c r="Y12" s="29">
        <f t="shared" si="24"/>
        <v>0</v>
      </c>
      <c r="Z12" s="29">
        <f t="shared" si="25"/>
        <v>0</v>
      </c>
      <c r="AA12" s="29">
        <f t="shared" si="26"/>
        <v>0</v>
      </c>
      <c r="AB12" s="29">
        <f t="shared" si="27"/>
        <v>0</v>
      </c>
      <c r="AC12" s="29">
        <f t="shared" si="28"/>
        <v>0</v>
      </c>
      <c r="AD12" s="29">
        <f t="shared" si="29"/>
        <v>0</v>
      </c>
      <c r="AE12" s="29">
        <f t="shared" si="30"/>
        <v>0</v>
      </c>
      <c r="AF12" s="29">
        <f t="shared" si="31"/>
        <v>0</v>
      </c>
    </row>
    <row r="13" spans="1:32">
      <c r="A13" s="4"/>
      <c r="B13" s="4" t="str">
        <f>IF(A51="","","Vy")</f>
        <v>Vy</v>
      </c>
      <c r="C13" s="29">
        <f t="shared" si="2"/>
        <v>1.6943999999999999</v>
      </c>
      <c r="D13" s="29">
        <f t="shared" si="3"/>
        <v>-1.1339999999999999</v>
      </c>
      <c r="E13" s="29">
        <f t="shared" si="4"/>
        <v>5.5308000000000002</v>
      </c>
      <c r="F13" s="29">
        <f t="shared" si="5"/>
        <v>6.9697999999999996E-2</v>
      </c>
      <c r="G13" s="29">
        <f t="shared" si="6"/>
        <v>-3.7260000000000001E-2</v>
      </c>
      <c r="H13" s="29">
        <f t="shared" si="7"/>
        <v>0.17576</v>
      </c>
      <c r="I13" s="29">
        <f t="shared" si="8"/>
        <v>-2.647E-2</v>
      </c>
      <c r="J13" s="29">
        <f t="shared" si="9"/>
        <v>3.0679999999999999E-2</v>
      </c>
      <c r="K13" s="29">
        <f t="shared" si="10"/>
        <v>-4.3819999999999998E-2</v>
      </c>
      <c r="L13" s="29">
        <f t="shared" si="11"/>
        <v>1.7907999999999999E-3</v>
      </c>
      <c r="M13" s="29">
        <f t="shared" si="12"/>
        <v>-1.1520000000000001E-2</v>
      </c>
      <c r="N13" s="29">
        <f t="shared" si="13"/>
        <v>-6.8910000000000004E-3</v>
      </c>
      <c r="O13" s="29">
        <f t="shared" si="14"/>
        <v>1.5744999999999999E-3</v>
      </c>
      <c r="P13" s="29">
        <f t="shared" si="15"/>
        <v>1.0817E-2</v>
      </c>
      <c r="Q13" s="29">
        <f t="shared" si="16"/>
        <v>1.939E-3</v>
      </c>
      <c r="R13" s="29">
        <f t="shared" si="17"/>
        <v>0</v>
      </c>
      <c r="S13" s="29">
        <f t="shared" si="18"/>
        <v>0</v>
      </c>
      <c r="T13" s="29">
        <f t="shared" si="19"/>
        <v>0</v>
      </c>
      <c r="U13" s="29">
        <f t="shared" si="20"/>
        <v>0</v>
      </c>
      <c r="V13" s="29">
        <f t="shared" si="21"/>
        <v>0</v>
      </c>
      <c r="W13" s="29">
        <f t="shared" si="22"/>
        <v>0</v>
      </c>
      <c r="X13" s="29">
        <f t="shared" si="23"/>
        <v>0</v>
      </c>
      <c r="Y13" s="29">
        <f t="shared" si="24"/>
        <v>0</v>
      </c>
      <c r="Z13" s="29">
        <f t="shared" si="25"/>
        <v>0</v>
      </c>
      <c r="AA13" s="29">
        <f t="shared" si="26"/>
        <v>0</v>
      </c>
      <c r="AB13" s="29">
        <f t="shared" si="27"/>
        <v>0</v>
      </c>
      <c r="AC13" s="29">
        <f t="shared" si="28"/>
        <v>0</v>
      </c>
      <c r="AD13" s="29">
        <f t="shared" si="29"/>
        <v>0</v>
      </c>
      <c r="AE13" s="29">
        <f t="shared" si="30"/>
        <v>0</v>
      </c>
      <c r="AF13" s="29">
        <f t="shared" si="31"/>
        <v>0</v>
      </c>
    </row>
    <row r="14" spans="1:32">
      <c r="A14" s="13"/>
      <c r="B14" s="13" t="str">
        <f>IF(A52="","","Rot")</f>
        <v>Rot</v>
      </c>
      <c r="C14" s="30">
        <f t="shared" si="2"/>
        <v>0.50526000000000004</v>
      </c>
      <c r="D14" s="30">
        <f t="shared" si="3"/>
        <v>-2.3279999999999999E-2</v>
      </c>
      <c r="E14" s="30">
        <f t="shared" si="4"/>
        <v>-0.36270000000000002</v>
      </c>
      <c r="F14" s="30">
        <f t="shared" si="5"/>
        <v>1.5498E-2</v>
      </c>
      <c r="G14" s="30">
        <f t="shared" si="6"/>
        <v>-1.9910000000000001E-3</v>
      </c>
      <c r="H14" s="30">
        <f t="shared" si="7"/>
        <v>-1.234E-2</v>
      </c>
      <c r="I14" s="30">
        <f t="shared" si="8"/>
        <v>-2.362E-3</v>
      </c>
      <c r="J14" s="30">
        <f t="shared" si="9"/>
        <v>1.1812000000000001E-3</v>
      </c>
      <c r="K14" s="30">
        <f t="shared" si="10"/>
        <v>3.0972999999999999E-3</v>
      </c>
      <c r="L14" s="30">
        <f t="shared" si="11"/>
        <v>-8.0539999999999995E-4</v>
      </c>
      <c r="M14" s="30">
        <f t="shared" si="12"/>
        <v>-8.0449999999999999E-4</v>
      </c>
      <c r="N14" s="30">
        <f t="shared" si="13"/>
        <v>6.8280000000000001E-4</v>
      </c>
      <c r="O14" s="30">
        <f t="shared" si="14"/>
        <v>4.6458999999999997E-5</v>
      </c>
      <c r="P14" s="30">
        <f t="shared" si="15"/>
        <v>9.1195999999999999E-5</v>
      </c>
      <c r="Q14" s="30">
        <f t="shared" si="16"/>
        <v>-1.572E-4</v>
      </c>
      <c r="R14" s="30">
        <f t="shared" si="17"/>
        <v>0</v>
      </c>
      <c r="S14" s="30">
        <f t="shared" si="18"/>
        <v>0</v>
      </c>
      <c r="T14" s="30">
        <f t="shared" si="19"/>
        <v>0</v>
      </c>
      <c r="U14" s="30">
        <f t="shared" si="20"/>
        <v>0</v>
      </c>
      <c r="V14" s="30">
        <f t="shared" si="21"/>
        <v>0</v>
      </c>
      <c r="W14" s="30">
        <f t="shared" si="22"/>
        <v>0</v>
      </c>
      <c r="X14" s="30">
        <f t="shared" si="23"/>
        <v>0</v>
      </c>
      <c r="Y14" s="30">
        <f t="shared" si="24"/>
        <v>0</v>
      </c>
      <c r="Z14" s="30">
        <f t="shared" si="25"/>
        <v>0</v>
      </c>
      <c r="AA14" s="30">
        <f t="shared" si="26"/>
        <v>0</v>
      </c>
      <c r="AB14" s="30">
        <f t="shared" si="27"/>
        <v>0</v>
      </c>
      <c r="AC14" s="30">
        <f t="shared" si="28"/>
        <v>0</v>
      </c>
      <c r="AD14" s="30">
        <f t="shared" si="29"/>
        <v>0</v>
      </c>
      <c r="AE14" s="30">
        <f t="shared" si="30"/>
        <v>0</v>
      </c>
      <c r="AF14" s="30">
        <f t="shared" si="31"/>
        <v>0</v>
      </c>
    </row>
    <row r="15" spans="1:32">
      <c r="A15" s="4">
        <f>IF(B53="","",B53)</f>
        <v>2</v>
      </c>
      <c r="B15" s="4" t="str">
        <f>IF(A53="","","Vx")</f>
        <v>Vx</v>
      </c>
      <c r="C15" s="29">
        <f t="shared" si="2"/>
        <v>2.7399</v>
      </c>
      <c r="D15" s="29">
        <f t="shared" si="3"/>
        <v>6.1212999999999997</v>
      </c>
      <c r="E15" s="29">
        <f t="shared" si="4"/>
        <v>-1.296</v>
      </c>
      <c r="F15" s="29">
        <f t="shared" si="5"/>
        <v>0.21115999999999999</v>
      </c>
      <c r="G15" s="29">
        <f t="shared" si="6"/>
        <v>0.40106000000000003</v>
      </c>
      <c r="H15" s="29">
        <f t="shared" si="7"/>
        <v>-9.9019999999999997E-2</v>
      </c>
      <c r="I15" s="29">
        <f t="shared" si="8"/>
        <v>4.6821000000000002E-2</v>
      </c>
      <c r="J15" s="29">
        <f t="shared" si="9"/>
        <v>3.5464000000000002E-2</v>
      </c>
      <c r="K15" s="29">
        <f t="shared" si="10"/>
        <v>-1.422E-2</v>
      </c>
      <c r="L15" s="29">
        <f t="shared" si="11"/>
        <v>-1.7330000000000002E-2</v>
      </c>
      <c r="M15" s="29">
        <f t="shared" si="12"/>
        <v>6.6311E-3</v>
      </c>
      <c r="N15" s="29">
        <f t="shared" si="13"/>
        <v>-8.7130000000000001E-5</v>
      </c>
      <c r="O15" s="29">
        <f t="shared" si="14"/>
        <v>-1.436E-2</v>
      </c>
      <c r="P15" s="29">
        <f t="shared" si="15"/>
        <v>1.1785000000000001E-3</v>
      </c>
      <c r="Q15" s="29">
        <f t="shared" si="16"/>
        <v>7.0828999999999998E-4</v>
      </c>
      <c r="R15" s="29">
        <f t="shared" si="17"/>
        <v>0</v>
      </c>
      <c r="S15" s="29">
        <f t="shared" si="18"/>
        <v>0</v>
      </c>
      <c r="T15" s="29">
        <f t="shared" si="19"/>
        <v>0</v>
      </c>
      <c r="U15" s="29">
        <f t="shared" si="20"/>
        <v>0</v>
      </c>
      <c r="V15" s="29">
        <f t="shared" si="21"/>
        <v>0</v>
      </c>
      <c r="W15" s="29">
        <f t="shared" si="22"/>
        <v>0</v>
      </c>
      <c r="X15" s="29">
        <f t="shared" si="23"/>
        <v>0</v>
      </c>
      <c r="Y15" s="29">
        <f t="shared" si="24"/>
        <v>0</v>
      </c>
      <c r="Z15" s="29">
        <f t="shared" si="25"/>
        <v>0</v>
      </c>
      <c r="AA15" s="29">
        <f t="shared" si="26"/>
        <v>0</v>
      </c>
      <c r="AB15" s="29">
        <f t="shared" si="27"/>
        <v>0</v>
      </c>
      <c r="AC15" s="29">
        <f t="shared" si="28"/>
        <v>0</v>
      </c>
      <c r="AD15" s="29">
        <f t="shared" si="29"/>
        <v>0</v>
      </c>
      <c r="AE15" s="29">
        <f t="shared" si="30"/>
        <v>0</v>
      </c>
      <c r="AF15" s="29">
        <f t="shared" si="31"/>
        <v>0</v>
      </c>
    </row>
    <row r="16" spans="1:32">
      <c r="A16" s="4"/>
      <c r="B16" s="4" t="str">
        <f>IF(A54="","","Vy")</f>
        <v>Vy</v>
      </c>
      <c r="C16" s="29">
        <f t="shared" si="2"/>
        <v>1.2008000000000001</v>
      </c>
      <c r="D16" s="29">
        <f t="shared" si="3"/>
        <v>-0.82150000000000001</v>
      </c>
      <c r="E16" s="29">
        <f t="shared" si="4"/>
        <v>3.8010999999999999</v>
      </c>
      <c r="F16" s="29">
        <f t="shared" si="5"/>
        <v>0.11212999999999999</v>
      </c>
      <c r="G16" s="29">
        <f t="shared" si="6"/>
        <v>-6.3899999999999998E-2</v>
      </c>
      <c r="H16" s="29">
        <f t="shared" si="7"/>
        <v>0.27854000000000001</v>
      </c>
      <c r="I16" s="29">
        <f t="shared" si="8"/>
        <v>7.7856000000000002E-3</v>
      </c>
      <c r="J16" s="29">
        <f t="shared" si="9"/>
        <v>-1.7950000000000001E-2</v>
      </c>
      <c r="K16" s="29">
        <f t="shared" si="10"/>
        <v>2.9701999999999999E-2</v>
      </c>
      <c r="L16" s="29">
        <f t="shared" si="11"/>
        <v>-6.0359999999999997E-3</v>
      </c>
      <c r="M16" s="29">
        <f t="shared" si="12"/>
        <v>-1.6379999999999999E-2</v>
      </c>
      <c r="N16" s="29">
        <f t="shared" si="13"/>
        <v>-6.7619999999999998E-3</v>
      </c>
      <c r="O16" s="29">
        <f t="shared" si="14"/>
        <v>2.4060000000000002E-3</v>
      </c>
      <c r="P16" s="29">
        <f t="shared" si="15"/>
        <v>-8.9720000000000008E-3</v>
      </c>
      <c r="Q16" s="29">
        <f t="shared" si="16"/>
        <v>-2.0609999999999999E-3</v>
      </c>
      <c r="R16" s="29">
        <f t="shared" si="17"/>
        <v>0</v>
      </c>
      <c r="S16" s="29">
        <f t="shared" si="18"/>
        <v>0</v>
      </c>
      <c r="T16" s="29">
        <f t="shared" si="19"/>
        <v>0</v>
      </c>
      <c r="U16" s="29">
        <f t="shared" si="20"/>
        <v>0</v>
      </c>
      <c r="V16" s="29">
        <f t="shared" si="21"/>
        <v>0</v>
      </c>
      <c r="W16" s="29">
        <f t="shared" si="22"/>
        <v>0</v>
      </c>
      <c r="X16" s="29">
        <f t="shared" si="23"/>
        <v>0</v>
      </c>
      <c r="Y16" s="29">
        <f t="shared" si="24"/>
        <v>0</v>
      </c>
      <c r="Z16" s="29">
        <f t="shared" si="25"/>
        <v>0</v>
      </c>
      <c r="AA16" s="29">
        <f t="shared" si="26"/>
        <v>0</v>
      </c>
      <c r="AB16" s="29">
        <f t="shared" si="27"/>
        <v>0</v>
      </c>
      <c r="AC16" s="29">
        <f t="shared" si="28"/>
        <v>0</v>
      </c>
      <c r="AD16" s="29">
        <f t="shared" si="29"/>
        <v>0</v>
      </c>
      <c r="AE16" s="29">
        <f t="shared" si="30"/>
        <v>0</v>
      </c>
      <c r="AF16" s="29">
        <f t="shared" si="31"/>
        <v>0</v>
      </c>
    </row>
    <row r="17" spans="1:32">
      <c r="A17" s="13"/>
      <c r="B17" s="13" t="str">
        <f>IF(A55="","","Rot")</f>
        <v>Rot</v>
      </c>
      <c r="C17" s="30">
        <f t="shared" si="2"/>
        <v>0.33532000000000001</v>
      </c>
      <c r="D17" s="30">
        <f t="shared" si="3"/>
        <v>-1.0200000000000001E-2</v>
      </c>
      <c r="E17" s="30">
        <f t="shared" si="4"/>
        <v>-0.24679999999999999</v>
      </c>
      <c r="F17" s="30">
        <f t="shared" si="5"/>
        <v>2.2554000000000001E-2</v>
      </c>
      <c r="G17" s="30">
        <f t="shared" si="6"/>
        <v>-2.2859999999999998E-3</v>
      </c>
      <c r="H17" s="30">
        <f t="shared" si="7"/>
        <v>-1.899E-2</v>
      </c>
      <c r="I17" s="30">
        <f t="shared" si="8"/>
        <v>3.0121000000000002E-3</v>
      </c>
      <c r="J17" s="30">
        <f t="shared" si="9"/>
        <v>-1.328E-3</v>
      </c>
      <c r="K17" s="30">
        <f t="shared" si="10"/>
        <v>-2.4550000000000002E-3</v>
      </c>
      <c r="L17" s="30">
        <f t="shared" si="11"/>
        <v>1.2538999999999999E-4</v>
      </c>
      <c r="M17" s="30">
        <f t="shared" si="12"/>
        <v>-4.685E-5</v>
      </c>
      <c r="N17" s="30">
        <f t="shared" si="13"/>
        <v>3.8230000000000002E-4</v>
      </c>
      <c r="O17" s="30">
        <f t="shared" si="14"/>
        <v>-3.9500000000000001E-4</v>
      </c>
      <c r="P17" s="30">
        <f t="shared" si="15"/>
        <v>-2.9E-4</v>
      </c>
      <c r="Q17" s="30">
        <f t="shared" si="16"/>
        <v>1.6982999999999999E-4</v>
      </c>
      <c r="R17" s="30">
        <f t="shared" si="17"/>
        <v>0</v>
      </c>
      <c r="S17" s="30">
        <f t="shared" si="18"/>
        <v>0</v>
      </c>
      <c r="T17" s="30">
        <f t="shared" si="19"/>
        <v>0</v>
      </c>
      <c r="U17" s="30">
        <f t="shared" si="20"/>
        <v>0</v>
      </c>
      <c r="V17" s="30">
        <f t="shared" si="21"/>
        <v>0</v>
      </c>
      <c r="W17" s="30">
        <f t="shared" si="22"/>
        <v>0</v>
      </c>
      <c r="X17" s="30">
        <f t="shared" si="23"/>
        <v>0</v>
      </c>
      <c r="Y17" s="30">
        <f t="shared" si="24"/>
        <v>0</v>
      </c>
      <c r="Z17" s="30">
        <f t="shared" si="25"/>
        <v>0</v>
      </c>
      <c r="AA17" s="30">
        <f t="shared" si="26"/>
        <v>0</v>
      </c>
      <c r="AB17" s="30">
        <f t="shared" si="27"/>
        <v>0</v>
      </c>
      <c r="AC17" s="30">
        <f t="shared" si="28"/>
        <v>0</v>
      </c>
      <c r="AD17" s="30">
        <f t="shared" si="29"/>
        <v>0</v>
      </c>
      <c r="AE17" s="30">
        <f t="shared" si="30"/>
        <v>0</v>
      </c>
      <c r="AF17" s="30">
        <f t="shared" si="31"/>
        <v>0</v>
      </c>
    </row>
    <row r="18" spans="1:32">
      <c r="A18" s="4">
        <f>IF(B56="","",B56)</f>
        <v>1</v>
      </c>
      <c r="B18" s="4" t="str">
        <f>IF(A56="","","Vx")</f>
        <v>Vx</v>
      </c>
      <c r="C18" s="29">
        <f t="shared" si="2"/>
        <v>1.2388999999999999</v>
      </c>
      <c r="D18" s="29">
        <f t="shared" si="3"/>
        <v>2.9020999999999999</v>
      </c>
      <c r="E18" s="29">
        <f t="shared" si="4"/>
        <v>-0.61350000000000005</v>
      </c>
      <c r="F18" s="29">
        <f t="shared" si="5"/>
        <v>0.13073000000000001</v>
      </c>
      <c r="G18" s="29">
        <f t="shared" si="6"/>
        <v>0.26617000000000002</v>
      </c>
      <c r="H18" s="29">
        <f t="shared" si="7"/>
        <v>-6.2659999999999993E-2</v>
      </c>
      <c r="I18" s="29">
        <f t="shared" si="8"/>
        <v>7.1068000000000006E-2</v>
      </c>
      <c r="J18" s="29">
        <f t="shared" si="9"/>
        <v>6.8023E-2</v>
      </c>
      <c r="K18" s="29">
        <f t="shared" si="10"/>
        <v>-1.8089999999999998E-2</v>
      </c>
      <c r="L18" s="29">
        <f t="shared" si="11"/>
        <v>4.6441999999999997E-2</v>
      </c>
      <c r="M18" s="29">
        <f t="shared" si="12"/>
        <v>-4.8019999999999998E-3</v>
      </c>
      <c r="N18" s="29">
        <f t="shared" si="13"/>
        <v>-4.3680000000000004E-3</v>
      </c>
      <c r="O18" s="29">
        <f t="shared" si="14"/>
        <v>1.4435E-2</v>
      </c>
      <c r="P18" s="29">
        <f t="shared" si="15"/>
        <v>1.1159E-3</v>
      </c>
      <c r="Q18" s="29">
        <f t="shared" si="16"/>
        <v>-8.2720000000000005E-4</v>
      </c>
      <c r="R18" s="29">
        <f t="shared" si="17"/>
        <v>0</v>
      </c>
      <c r="S18" s="29">
        <f t="shared" si="18"/>
        <v>0</v>
      </c>
      <c r="T18" s="29">
        <f t="shared" si="19"/>
        <v>0</v>
      </c>
      <c r="U18" s="29">
        <f t="shared" si="20"/>
        <v>0</v>
      </c>
      <c r="V18" s="29">
        <f t="shared" si="21"/>
        <v>0</v>
      </c>
      <c r="W18" s="29">
        <f t="shared" si="22"/>
        <v>0</v>
      </c>
      <c r="X18" s="29">
        <f t="shared" si="23"/>
        <v>0</v>
      </c>
      <c r="Y18" s="29">
        <f t="shared" si="24"/>
        <v>0</v>
      </c>
      <c r="Z18" s="29">
        <f t="shared" si="25"/>
        <v>0</v>
      </c>
      <c r="AA18" s="29">
        <f t="shared" si="26"/>
        <v>0</v>
      </c>
      <c r="AB18" s="29">
        <f t="shared" si="27"/>
        <v>0</v>
      </c>
      <c r="AC18" s="29">
        <f t="shared" si="28"/>
        <v>0</v>
      </c>
      <c r="AD18" s="29">
        <f t="shared" si="29"/>
        <v>0</v>
      </c>
      <c r="AE18" s="29">
        <f t="shared" si="30"/>
        <v>0</v>
      </c>
      <c r="AF18" s="29">
        <f t="shared" si="31"/>
        <v>0</v>
      </c>
    </row>
    <row r="19" spans="1:32">
      <c r="A19" s="4"/>
      <c r="B19" s="4" t="str">
        <f>IF(A57="","","Vy")</f>
        <v>Vy</v>
      </c>
      <c r="C19" s="29">
        <f t="shared" si="2"/>
        <v>0.60960999999999999</v>
      </c>
      <c r="D19" s="29">
        <f t="shared" si="3"/>
        <v>-0.42899999999999999</v>
      </c>
      <c r="E19" s="29">
        <f t="shared" si="4"/>
        <v>1.8035000000000001</v>
      </c>
      <c r="F19" s="29">
        <f t="shared" si="5"/>
        <v>8.0490000000000006E-2</v>
      </c>
      <c r="G19" s="29">
        <f t="shared" si="6"/>
        <v>-4.4220000000000002E-2</v>
      </c>
      <c r="H19" s="29">
        <f t="shared" si="7"/>
        <v>0.18639</v>
      </c>
      <c r="I19" s="29">
        <f t="shared" si="8"/>
        <v>2.5995000000000001E-2</v>
      </c>
      <c r="J19" s="29">
        <f t="shared" si="9"/>
        <v>-3.5630000000000002E-2</v>
      </c>
      <c r="K19" s="29">
        <f t="shared" si="10"/>
        <v>5.4642000000000003E-2</v>
      </c>
      <c r="L19" s="29">
        <f t="shared" si="11"/>
        <v>-2.859E-3</v>
      </c>
      <c r="M19" s="29">
        <f t="shared" si="12"/>
        <v>2.2797000000000001E-2</v>
      </c>
      <c r="N19" s="29">
        <f t="shared" si="13"/>
        <v>1.3891000000000001E-2</v>
      </c>
      <c r="O19" s="29">
        <f t="shared" si="14"/>
        <v>-6.43E-3</v>
      </c>
      <c r="P19" s="29">
        <f t="shared" si="15"/>
        <v>4.2167000000000003E-3</v>
      </c>
      <c r="Q19" s="29">
        <f t="shared" si="16"/>
        <v>1.7547000000000001E-3</v>
      </c>
      <c r="R19" s="29">
        <f t="shared" si="17"/>
        <v>0</v>
      </c>
      <c r="S19" s="29">
        <f t="shared" si="18"/>
        <v>0</v>
      </c>
      <c r="T19" s="29">
        <f t="shared" si="19"/>
        <v>0</v>
      </c>
      <c r="U19" s="29">
        <f t="shared" si="20"/>
        <v>0</v>
      </c>
      <c r="V19" s="29">
        <f t="shared" si="21"/>
        <v>0</v>
      </c>
      <c r="W19" s="29">
        <f t="shared" si="22"/>
        <v>0</v>
      </c>
      <c r="X19" s="29">
        <f t="shared" si="23"/>
        <v>0</v>
      </c>
      <c r="Y19" s="29">
        <f t="shared" si="24"/>
        <v>0</v>
      </c>
      <c r="Z19" s="29">
        <f t="shared" si="25"/>
        <v>0</v>
      </c>
      <c r="AA19" s="29">
        <f t="shared" si="26"/>
        <v>0</v>
      </c>
      <c r="AB19" s="29">
        <f t="shared" si="27"/>
        <v>0</v>
      </c>
      <c r="AC19" s="29">
        <f t="shared" si="28"/>
        <v>0</v>
      </c>
      <c r="AD19" s="29">
        <f t="shared" si="29"/>
        <v>0</v>
      </c>
      <c r="AE19" s="29">
        <f t="shared" si="30"/>
        <v>0</v>
      </c>
      <c r="AF19" s="29">
        <f t="shared" si="31"/>
        <v>0</v>
      </c>
    </row>
    <row r="20" spans="1:32">
      <c r="A20" s="13"/>
      <c r="B20" s="13" t="str">
        <f>IF(A58="","","Rot")</f>
        <v>Rot</v>
      </c>
      <c r="C20" s="30">
        <f t="shared" si="2"/>
        <v>0.14710999999999999</v>
      </c>
      <c r="D20" s="30">
        <f t="shared" si="3"/>
        <v>2.4114000000000001E-4</v>
      </c>
      <c r="E20" s="30">
        <f t="shared" si="4"/>
        <v>-0.11459999999999999</v>
      </c>
      <c r="F20" s="30">
        <f t="shared" si="5"/>
        <v>1.3514E-2</v>
      </c>
      <c r="G20" s="30">
        <f t="shared" si="6"/>
        <v>-1.201E-3</v>
      </c>
      <c r="H20" s="30">
        <f t="shared" si="7"/>
        <v>-1.221E-2</v>
      </c>
      <c r="I20" s="30">
        <f t="shared" si="8"/>
        <v>3.6462999999999999E-3</v>
      </c>
      <c r="J20" s="30">
        <f t="shared" si="9"/>
        <v>-1.7489999999999999E-3</v>
      </c>
      <c r="K20" s="30">
        <f t="shared" si="10"/>
        <v>-3.849E-3</v>
      </c>
      <c r="L20" s="30">
        <f t="shared" si="11"/>
        <v>1.3675E-3</v>
      </c>
      <c r="M20" s="30">
        <f t="shared" si="12"/>
        <v>1.3171999999999999E-3</v>
      </c>
      <c r="N20" s="30">
        <f t="shared" si="13"/>
        <v>-1.0660000000000001E-3</v>
      </c>
      <c r="O20" s="30">
        <f t="shared" si="14"/>
        <v>7.7957999999999999E-4</v>
      </c>
      <c r="P20" s="30">
        <f t="shared" si="15"/>
        <v>5.2992000000000002E-4</v>
      </c>
      <c r="Q20" s="30">
        <f t="shared" si="16"/>
        <v>-1.5899999999999999E-4</v>
      </c>
      <c r="R20" s="30">
        <f t="shared" si="17"/>
        <v>0</v>
      </c>
      <c r="S20" s="30">
        <f t="shared" si="18"/>
        <v>0</v>
      </c>
      <c r="T20" s="30">
        <f t="shared" si="19"/>
        <v>0</v>
      </c>
      <c r="U20" s="30">
        <f t="shared" si="20"/>
        <v>0</v>
      </c>
      <c r="V20" s="30">
        <f t="shared" si="21"/>
        <v>0</v>
      </c>
      <c r="W20" s="30">
        <f t="shared" si="22"/>
        <v>0</v>
      </c>
      <c r="X20" s="30">
        <f t="shared" si="23"/>
        <v>0</v>
      </c>
      <c r="Y20" s="30">
        <f t="shared" si="24"/>
        <v>0</v>
      </c>
      <c r="Z20" s="30">
        <f t="shared" si="25"/>
        <v>0</v>
      </c>
      <c r="AA20" s="30">
        <f t="shared" si="26"/>
        <v>0</v>
      </c>
      <c r="AB20" s="30">
        <f t="shared" si="27"/>
        <v>0</v>
      </c>
      <c r="AC20" s="30">
        <f t="shared" si="28"/>
        <v>0</v>
      </c>
      <c r="AD20" s="30">
        <f t="shared" si="29"/>
        <v>0</v>
      </c>
      <c r="AE20" s="30">
        <f t="shared" si="30"/>
        <v>0</v>
      </c>
      <c r="AF20" s="30">
        <f t="shared" si="31"/>
        <v>0</v>
      </c>
    </row>
    <row r="21" spans="1:32">
      <c r="A21" s="4" t="str">
        <f>IF(B59="","",B59)</f>
        <v/>
      </c>
      <c r="B21" s="4" t="str">
        <f>IF(A59="","","Vx")</f>
        <v/>
      </c>
      <c r="C21" s="29" t="str">
        <f t="shared" si="2"/>
        <v/>
      </c>
      <c r="D21" s="29" t="str">
        <f t="shared" si="3"/>
        <v/>
      </c>
      <c r="E21" s="29" t="str">
        <f t="shared" si="4"/>
        <v/>
      </c>
      <c r="F21" s="29" t="str">
        <f t="shared" si="5"/>
        <v/>
      </c>
      <c r="G21" s="29" t="str">
        <f t="shared" si="6"/>
        <v/>
      </c>
      <c r="H21" s="29" t="str">
        <f t="shared" si="7"/>
        <v/>
      </c>
      <c r="I21" s="29" t="str">
        <f t="shared" si="8"/>
        <v/>
      </c>
      <c r="J21" s="29" t="str">
        <f t="shared" si="9"/>
        <v/>
      </c>
      <c r="K21" s="29" t="str">
        <f t="shared" si="10"/>
        <v/>
      </c>
      <c r="L21" s="29" t="str">
        <f t="shared" si="11"/>
        <v/>
      </c>
      <c r="M21" s="29" t="str">
        <f t="shared" si="12"/>
        <v/>
      </c>
      <c r="N21" s="29" t="str">
        <f t="shared" si="13"/>
        <v/>
      </c>
      <c r="O21" s="29" t="str">
        <f t="shared" si="14"/>
        <v/>
      </c>
      <c r="P21" s="29" t="str">
        <f t="shared" si="15"/>
        <v/>
      </c>
      <c r="Q21" s="29" t="str">
        <f t="shared" si="16"/>
        <v/>
      </c>
      <c r="R21" s="29" t="str">
        <f t="shared" si="17"/>
        <v/>
      </c>
      <c r="S21" s="29" t="str">
        <f t="shared" si="18"/>
        <v/>
      </c>
      <c r="T21" s="29" t="str">
        <f t="shared" si="19"/>
        <v/>
      </c>
      <c r="U21" s="29" t="str">
        <f t="shared" si="20"/>
        <v/>
      </c>
      <c r="V21" s="29" t="str">
        <f t="shared" si="21"/>
        <v/>
      </c>
      <c r="W21" s="29" t="str">
        <f t="shared" si="22"/>
        <v/>
      </c>
      <c r="X21" s="29" t="str">
        <f t="shared" si="23"/>
        <v/>
      </c>
      <c r="Y21" s="29" t="str">
        <f t="shared" si="24"/>
        <v/>
      </c>
      <c r="Z21" s="29" t="str">
        <f t="shared" si="25"/>
        <v/>
      </c>
      <c r="AA21" s="29" t="str">
        <f t="shared" si="26"/>
        <v/>
      </c>
      <c r="AB21" s="29" t="str">
        <f t="shared" si="27"/>
        <v/>
      </c>
      <c r="AC21" s="29" t="str">
        <f t="shared" si="28"/>
        <v/>
      </c>
      <c r="AD21" s="29" t="str">
        <f t="shared" si="29"/>
        <v/>
      </c>
      <c r="AE21" s="29" t="str">
        <f t="shared" si="30"/>
        <v/>
      </c>
      <c r="AF21" s="29" t="str">
        <f t="shared" si="31"/>
        <v/>
      </c>
    </row>
    <row r="22" spans="1:32">
      <c r="A22" s="4"/>
      <c r="B22" s="4" t="str">
        <f>IF(A60="","","Vy")</f>
        <v/>
      </c>
      <c r="C22" s="29" t="str">
        <f t="shared" si="2"/>
        <v/>
      </c>
      <c r="D22" s="29" t="str">
        <f t="shared" si="3"/>
        <v/>
      </c>
      <c r="E22" s="29" t="str">
        <f t="shared" si="4"/>
        <v/>
      </c>
      <c r="F22" s="29" t="str">
        <f t="shared" si="5"/>
        <v/>
      </c>
      <c r="G22" s="29" t="str">
        <f t="shared" si="6"/>
        <v/>
      </c>
      <c r="H22" s="29" t="str">
        <f t="shared" si="7"/>
        <v/>
      </c>
      <c r="I22" s="29" t="str">
        <f t="shared" si="8"/>
        <v/>
      </c>
      <c r="J22" s="29" t="str">
        <f t="shared" si="9"/>
        <v/>
      </c>
      <c r="K22" s="29" t="str">
        <f t="shared" si="10"/>
        <v/>
      </c>
      <c r="L22" s="29" t="str">
        <f t="shared" si="11"/>
        <v/>
      </c>
      <c r="M22" s="29" t="str">
        <f t="shared" si="12"/>
        <v/>
      </c>
      <c r="N22" s="29" t="str">
        <f t="shared" si="13"/>
        <v/>
      </c>
      <c r="O22" s="29" t="str">
        <f t="shared" si="14"/>
        <v/>
      </c>
      <c r="P22" s="29" t="str">
        <f t="shared" si="15"/>
        <v/>
      </c>
      <c r="Q22" s="29" t="str">
        <f t="shared" si="16"/>
        <v/>
      </c>
      <c r="R22" s="29" t="str">
        <f t="shared" si="17"/>
        <v/>
      </c>
      <c r="S22" s="29" t="str">
        <f t="shared" si="18"/>
        <v/>
      </c>
      <c r="T22" s="29" t="str">
        <f t="shared" si="19"/>
        <v/>
      </c>
      <c r="U22" s="29" t="str">
        <f t="shared" si="20"/>
        <v/>
      </c>
      <c r="V22" s="29" t="str">
        <f t="shared" si="21"/>
        <v/>
      </c>
      <c r="W22" s="29" t="str">
        <f t="shared" si="22"/>
        <v/>
      </c>
      <c r="X22" s="29" t="str">
        <f t="shared" si="23"/>
        <v/>
      </c>
      <c r="Y22" s="29" t="str">
        <f t="shared" si="24"/>
        <v/>
      </c>
      <c r="Z22" s="29" t="str">
        <f t="shared" si="25"/>
        <v/>
      </c>
      <c r="AA22" s="29" t="str">
        <f t="shared" si="26"/>
        <v/>
      </c>
      <c r="AB22" s="29" t="str">
        <f t="shared" si="27"/>
        <v/>
      </c>
      <c r="AC22" s="29" t="str">
        <f t="shared" si="28"/>
        <v/>
      </c>
      <c r="AD22" s="29" t="str">
        <f t="shared" si="29"/>
        <v/>
      </c>
      <c r="AE22" s="29" t="str">
        <f t="shared" si="30"/>
        <v/>
      </c>
      <c r="AF22" s="29" t="str">
        <f t="shared" si="31"/>
        <v/>
      </c>
    </row>
    <row r="23" spans="1:32">
      <c r="A23" s="13"/>
      <c r="B23" s="13" t="str">
        <f>IF(A61="","","Rot")</f>
        <v/>
      </c>
      <c r="C23" s="30" t="str">
        <f t="shared" si="2"/>
        <v/>
      </c>
      <c r="D23" s="30" t="str">
        <f t="shared" si="3"/>
        <v/>
      </c>
      <c r="E23" s="30" t="str">
        <f t="shared" si="4"/>
        <v/>
      </c>
      <c r="F23" s="30" t="str">
        <f t="shared" si="5"/>
        <v/>
      </c>
      <c r="G23" s="30" t="str">
        <f t="shared" si="6"/>
        <v/>
      </c>
      <c r="H23" s="30" t="str">
        <f t="shared" si="7"/>
        <v/>
      </c>
      <c r="I23" s="30" t="str">
        <f t="shared" si="8"/>
        <v/>
      </c>
      <c r="J23" s="30" t="str">
        <f t="shared" si="9"/>
        <v/>
      </c>
      <c r="K23" s="30" t="str">
        <f t="shared" si="10"/>
        <v/>
      </c>
      <c r="L23" s="30" t="str">
        <f t="shared" si="11"/>
        <v/>
      </c>
      <c r="M23" s="30" t="str">
        <f t="shared" si="12"/>
        <v/>
      </c>
      <c r="N23" s="30" t="str">
        <f t="shared" si="13"/>
        <v/>
      </c>
      <c r="O23" s="30" t="str">
        <f t="shared" si="14"/>
        <v/>
      </c>
      <c r="P23" s="30" t="str">
        <f t="shared" si="15"/>
        <v/>
      </c>
      <c r="Q23" s="30" t="str">
        <f t="shared" si="16"/>
        <v/>
      </c>
      <c r="R23" s="30" t="str">
        <f t="shared" si="17"/>
        <v/>
      </c>
      <c r="S23" s="30" t="str">
        <f t="shared" si="18"/>
        <v/>
      </c>
      <c r="T23" s="30" t="str">
        <f t="shared" si="19"/>
        <v/>
      </c>
      <c r="U23" s="30" t="str">
        <f t="shared" si="20"/>
        <v/>
      </c>
      <c r="V23" s="30" t="str">
        <f t="shared" si="21"/>
        <v/>
      </c>
      <c r="W23" s="30" t="str">
        <f t="shared" si="22"/>
        <v/>
      </c>
      <c r="X23" s="30" t="str">
        <f t="shared" si="23"/>
        <v/>
      </c>
      <c r="Y23" s="30" t="str">
        <f t="shared" si="24"/>
        <v/>
      </c>
      <c r="Z23" s="30" t="str">
        <f t="shared" si="25"/>
        <v/>
      </c>
      <c r="AA23" s="30" t="str">
        <f t="shared" si="26"/>
        <v/>
      </c>
      <c r="AB23" s="30" t="str">
        <f t="shared" si="27"/>
        <v/>
      </c>
      <c r="AC23" s="30" t="str">
        <f t="shared" si="28"/>
        <v/>
      </c>
      <c r="AD23" s="30" t="str">
        <f t="shared" si="29"/>
        <v/>
      </c>
      <c r="AE23" s="30" t="str">
        <f t="shared" si="30"/>
        <v/>
      </c>
      <c r="AF23" s="30" t="str">
        <f t="shared" si="31"/>
        <v/>
      </c>
    </row>
    <row r="24" spans="1:3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>
      <c r="B36" s="6" t="s">
        <v>5</v>
      </c>
      <c r="C36" s="2">
        <f>INDEX(SPI!$B$1:$I$931,$A44+(3*$B$1+2)*C$5+1,2)</f>
        <v>0.58199999999999996</v>
      </c>
      <c r="D36" s="2">
        <f>INDEX(SPI!$B$1:$I$931,$A44+(3*$B$1+2)*D$5+1,2)</f>
        <v>0.55300000000000005</v>
      </c>
      <c r="E36" s="2">
        <f>INDEX(SPI!$B$1:$I$931,$A44+(3*$B$1+2)*E$5+1,2)</f>
        <v>0.46300000000000002</v>
      </c>
      <c r="F36" s="2">
        <f>INDEX(SPI!$B$1:$I$931,$A44+(3*$B$1+2)*F$5+1,2)</f>
        <v>0.183</v>
      </c>
      <c r="G36" s="2">
        <f>INDEX(SPI!$B$1:$I$931,$A44+(3*$B$1+2)*G$5+1,2)</f>
        <v>0.17699999999999999</v>
      </c>
      <c r="H36" s="2">
        <f>INDEX(SPI!$B$1:$I$931,$A44+(3*$B$1+2)*H$5+1,2)</f>
        <v>0.14799999999999999</v>
      </c>
      <c r="I36" s="2">
        <f>INDEX(SPI!$B$1:$I$931,$A44+(3*$B$1+2)*I$5+1,2)</f>
        <v>9.9000000000000005E-2</v>
      </c>
      <c r="J36" s="2">
        <f>INDEX(SPI!$B$1:$I$931,$A44+(3*$B$1+2)*J$5+1,2)</f>
        <v>9.8000000000000004E-2</v>
      </c>
      <c r="K36" s="2">
        <f>INDEX(SPI!$B$1:$I$931,$A44+(3*$B$1+2)*K$5+1,2)</f>
        <v>8.2000000000000003E-2</v>
      </c>
      <c r="L36" s="2">
        <f>INDEX(SPI!$B$1:$I$931,$A44+(3*$B$1+2)*L$5+1,2)</f>
        <v>6.6000000000000003E-2</v>
      </c>
      <c r="M36" s="2">
        <f>INDEX(SPI!$B$1:$I$931,$A44+(3*$B$1+2)*M$5+1,2)</f>
        <v>6.4000000000000001E-2</v>
      </c>
      <c r="N36" s="2">
        <f>INDEX(SPI!$B$1:$I$931,$A44+(3*$B$1+2)*N$5+1,2)</f>
        <v>5.5E-2</v>
      </c>
      <c r="O36" s="2">
        <f>INDEX(SPI!$B$1:$I$931,$A44+(3*$B$1+2)*O$5+1,2)</f>
        <v>5.0999999999999997E-2</v>
      </c>
      <c r="P36" s="2">
        <f>INDEX(SPI!$B$1:$I$931,$A44+(3*$B$1+2)*P$5+1,2)</f>
        <v>0.05</v>
      </c>
      <c r="Q36" s="2">
        <f>INDEX(SPI!$B$1:$I$931,$A44+(3*$B$1+2)*Q$5+1,2)</f>
        <v>4.2000000000000003E-2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>
      <c r="B37" s="6" t="s">
        <v>81</v>
      </c>
      <c r="C37" s="2">
        <f>INDEX(SPI!$B$1:$I$931,$A44+(3*$B$1+2)*C5,7)</f>
        <v>1.7529999999999999</v>
      </c>
      <c r="D37" s="2">
        <f>INDEX(SPI!$B$1:$I$931,$A44+(3*$B$1+2)*D5,7)</f>
        <v>84.001999999999995</v>
      </c>
      <c r="E37" s="2">
        <f>INDEX(SPI!$B$1:$I$931,$A44+(3*$B$1+2)*E5,7)</f>
        <v>0.27600000000000002</v>
      </c>
      <c r="F37" s="2">
        <f>INDEX(SPI!$B$1:$I$931,$A44+(3*$B$1+2)*F5,7)</f>
        <v>0.32200000000000001</v>
      </c>
      <c r="G37" s="2">
        <f>INDEX(SPI!$B$1:$I$931,$A44+(3*$B$1+2)*G5,7)</f>
        <v>8.9450000000000003</v>
      </c>
      <c r="H37" s="2">
        <f>INDEX(SPI!$B$1:$I$931,$A44+(3*$B$1+2)*H5,7)</f>
        <v>7.1999999999999995E-2</v>
      </c>
      <c r="I37" s="2">
        <f>INDEX(SPI!$B$1:$I$931,$A44+(3*$B$1+2)*I5,7)</f>
        <v>0.92400000000000004</v>
      </c>
      <c r="J37" s="2">
        <f>INDEX(SPI!$B$1:$I$931,$A44+(3*$B$1+2)*J5,7)</f>
        <v>2.0099999999999998</v>
      </c>
      <c r="K37" s="2">
        <f>INDEX(SPI!$B$1:$I$931,$A44+(3*$B$1+2)*K5,7)</f>
        <v>5.8999999999999997E-2</v>
      </c>
      <c r="L37" s="2">
        <f>INDEX(SPI!$B$1:$I$931,$A44+(3*$B$1+2)*L5,7)</f>
        <v>1.0900000000000001</v>
      </c>
      <c r="M37" s="2">
        <f>INDEX(SPI!$B$1:$I$931,$A44+(3*$B$1+2)*M5,7)</f>
        <v>0.14000000000000001</v>
      </c>
      <c r="N37" s="2">
        <f>INDEX(SPI!$B$1:$I$931,$A44+(3*$B$1+2)*N5,7)</f>
        <v>5.7000000000000002E-2</v>
      </c>
      <c r="O37" s="2">
        <f>INDEX(SPI!$B$1:$I$931,$A44+(3*$B$1+2)*O5,7)</f>
        <v>0.32200000000000001</v>
      </c>
      <c r="P37" s="2">
        <f>INDEX(SPI!$B$1:$I$931,$A44+(3*$B$1+2)*P5,7)</f>
        <v>1.9E-2</v>
      </c>
      <c r="Q37" s="2">
        <f>INDEX(SPI!$B$1:$I$931,$A44+(3*$B$1+2)*Q5,7)</f>
        <v>8.0000000000000002E-3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>
      <c r="B38" s="6" t="s">
        <v>82</v>
      </c>
      <c r="C38" s="2">
        <f>INDEX(SPI!$B$1:$I$931,$A44+(3*$B$1+2)*C5,8)</f>
        <v>60.883000000000003</v>
      </c>
      <c r="D38" s="2">
        <f>INDEX(SPI!$B$1:$I$931,$A44+(3*$B$1+2)*D5,8)</f>
        <v>1.96</v>
      </c>
      <c r="E38" s="2">
        <f>INDEX(SPI!$B$1:$I$931,$A44+(3*$B$1+2)*E5,8)</f>
        <v>23.027999999999999</v>
      </c>
      <c r="F38" s="2">
        <f>INDEX(SPI!$B$1:$I$931,$A44+(3*$B$1+2)*F5,8)</f>
        <v>6.9279999999999999</v>
      </c>
      <c r="G38" s="2">
        <f>INDEX(SPI!$B$1:$I$931,$A44+(3*$B$1+2)*G5,8)</f>
        <v>0.39700000000000002</v>
      </c>
      <c r="H38" s="2">
        <f>INDEX(SPI!$B$1:$I$931,$A44+(3*$B$1+2)*H5,8)</f>
        <v>2.1480000000000001</v>
      </c>
      <c r="I38" s="2">
        <f>INDEX(SPI!$B$1:$I$931,$A44+(3*$B$1+2)*I5,8)</f>
        <v>1.5960000000000001</v>
      </c>
      <c r="J38" s="2">
        <f>INDEX(SPI!$B$1:$I$931,$A44+(3*$B$1+2)*J5,8)</f>
        <v>0.94499999999999995</v>
      </c>
      <c r="K38" s="2">
        <f>INDEX(SPI!$B$1:$I$931,$A44+(3*$B$1+2)*K5,8)</f>
        <v>0.48599999999999999</v>
      </c>
      <c r="L38" s="2">
        <f>INDEX(SPI!$B$1:$I$931,$A44+(3*$B$1+2)*L5,8)</f>
        <v>8.7999999999999995E-2</v>
      </c>
      <c r="M38" s="2">
        <f>INDEX(SPI!$B$1:$I$931,$A44+(3*$B$1+2)*M5,8)</f>
        <v>1.073</v>
      </c>
      <c r="N38" s="2">
        <f>INDEX(SPI!$B$1:$I$931,$A44+(3*$B$1+2)*N5,8)</f>
        <v>0.11700000000000001</v>
      </c>
      <c r="O38" s="2">
        <f>INDEX(SPI!$B$1:$I$931,$A44+(3*$B$1+2)*O5,8)</f>
        <v>6.0000000000000001E-3</v>
      </c>
      <c r="P38" s="2">
        <f>INDEX(SPI!$B$1:$I$931,$A44+(3*$B$1+2)*P5,8)</f>
        <v>0.33800000000000002</v>
      </c>
      <c r="Q38" s="2">
        <f>INDEX(SPI!$B$1:$I$931,$A44+(3*$B$1+2)*Q5,8)</f>
        <v>7.0000000000000001E-3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>
      <c r="A41" s="7" t="s">
        <v>41</v>
      </c>
    </row>
    <row r="42" spans="1:63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0.96726999999999996</v>
      </c>
      <c r="E44" s="14">
        <f>INDEX(SPI!$B$1:$I$931,$A44+(3*$B$1+2)*D$43+1,8)</f>
        <v>5.7009999999999996</v>
      </c>
      <c r="F44" s="14">
        <f>INDEX(SPI!$B$1:$I$931,$A44+(3*$B$1+2)*F$43+1,7)</f>
        <v>12.236000000000001</v>
      </c>
      <c r="G44" s="14">
        <f>INDEX(SPI!$B$1:$I$931,$A44+(3*$B$1+2)*F$43+1,8)</f>
        <v>-1.869</v>
      </c>
      <c r="H44" s="14">
        <f>INDEX(SPI!$B$1:$I$931,$A44+(3*$B$1+2)*H$43+1,7)</f>
        <v>-0.28170000000000001</v>
      </c>
      <c r="I44" s="14">
        <f>INDEX(SPI!$B$1:$I$931,$A44+(3*$B$1+2)*H$43+1,8)</f>
        <v>-2.5720000000000001</v>
      </c>
      <c r="J44" s="14">
        <f>INDEX(SPI!$B$1:$I$931,$A44+(3*$B$1+2)*J$43+1,7)</f>
        <v>-4.7239999999999997E-2</v>
      </c>
      <c r="K44" s="14">
        <f>INDEX(SPI!$B$1:$I$931,$A44+(3*$B$1+2)*J$43+1,8)</f>
        <v>-0.21909999999999999</v>
      </c>
      <c r="L44" s="14">
        <f>INDEX(SPI!$B$1:$I$931,$A44+(3*$B$1+2)*L$43+1,7)</f>
        <v>-0.4002</v>
      </c>
      <c r="M44" s="14">
        <f>INDEX(SPI!$B$1:$I$931,$A44+(3*$B$1+2)*L$43+1,8)</f>
        <v>8.4302000000000002E-2</v>
      </c>
      <c r="N44" s="14">
        <f>INDEX(SPI!$B$1:$I$931,$A44+(3*$B$1+2)*N$43+1,7)</f>
        <v>1.8903E-2</v>
      </c>
      <c r="O44" s="14">
        <f>INDEX(SPI!$B$1:$I$931,$A44+(3*$B$1+2)*N$43+1,8)</f>
        <v>0.10352</v>
      </c>
      <c r="P44" s="14">
        <f>INDEX(SPI!$B$1:$I$931,$A44+(3*$B$1+2)*P$43+1,7)</f>
        <v>4.5411E-2</v>
      </c>
      <c r="Q44" s="14">
        <f>INDEX(SPI!$B$1:$I$931,$A44+(3*$B$1+2)*P$43+1,8)</f>
        <v>5.9679999999999997E-2</v>
      </c>
      <c r="R44" s="14">
        <f>INDEX(SPI!$B$1:$I$931,$A44+(3*$B$1+2)*R$43+1,7)</f>
        <v>5.5459000000000001E-2</v>
      </c>
      <c r="S44" s="14">
        <f>INDEX(SPI!$B$1:$I$931,$A44+(3*$B$1+2)*R$43+1,8)</f>
        <v>-3.8030000000000001E-2</v>
      </c>
      <c r="T44" s="14">
        <f>INDEX(SPI!$B$1:$I$931,$A44+(3*$B$1+2)*T$43+1,7)</f>
        <v>-6.3949999999999996E-3</v>
      </c>
      <c r="U44" s="14">
        <f>INDEX(SPI!$B$1:$I$931,$A44+(3*$B$1+2)*T$43+1,8)</f>
        <v>-1.8419999999999999E-2</v>
      </c>
      <c r="V44" s="14">
        <f>INDEX(SPI!$B$1:$I$931,$A44+(3*$B$1+2)*V$43+1,7)</f>
        <v>-1.8780000000000002E-2</v>
      </c>
      <c r="W44" s="14">
        <f>INDEX(SPI!$B$1:$I$931,$A44+(3*$B$1+2)*V$43+1,8)</f>
        <v>-5.3439999999999998E-3</v>
      </c>
      <c r="X44" s="14">
        <f>INDEX(SPI!$B$1:$I$931,$A44+(3*$B$1+2)*X$43+1,7)</f>
        <v>-1.2899999999999999E-3</v>
      </c>
      <c r="Y44" s="14">
        <f>INDEX(SPI!$B$1:$I$931,$A44+(3*$B$1+2)*X$43+1,8)</f>
        <v>3.5663000000000001E-3</v>
      </c>
      <c r="Z44" s="14">
        <f>INDEX(SPI!$B$1:$I$931,$A44+(3*$B$1+2)*Z$43+1,7)</f>
        <v>1.9910000000000001E-3</v>
      </c>
      <c r="AA44" s="14">
        <f>INDEX(SPI!$B$1:$I$931,$A44+(3*$B$1+2)*Z$43+1,8)</f>
        <v>2.8427999999999999E-3</v>
      </c>
      <c r="AB44" s="14">
        <f>INDEX(SPI!$B$1:$I$931,$A44+(3*$B$1+2)*AB$43+1,7)</f>
        <v>2.2994999999999999E-3</v>
      </c>
      <c r="AC44" s="14">
        <f>INDEX(SPI!$B$1:$I$931,$A44+(3*$B$1+2)*AB$43+1,8)</f>
        <v>3.0173E-4</v>
      </c>
      <c r="AD44" s="14">
        <f>INDEX(SPI!$B$1:$I$931,$A44+(3*$B$1+2)*AD$43+1,7)</f>
        <v>1.6553999999999999E-4</v>
      </c>
      <c r="AE44" s="14">
        <f>INDEX(SPI!$B$1:$I$931,$A44+(3*$B$1+2)*AD$43+1,8)</f>
        <v>-6.9200000000000002E-4</v>
      </c>
      <c r="AF44" s="14">
        <f>INDEX(SPI!$B$1:$I$931,$A44+(3*$B$1+2)*AF$43+1,7)</f>
        <v>-1.4990000000000001E-4</v>
      </c>
      <c r="AG44" s="14">
        <f>INDEX(SPI!$B$1:$I$931,$A44+(3*$B$1+2)*AF$43+1,8)</f>
        <v>-1.3990000000000001E-4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>
      <c r="A45" s="4">
        <v>2</v>
      </c>
      <c r="B45" s="4"/>
      <c r="C45" s="4" t="s">
        <v>1</v>
      </c>
      <c r="D45" s="14">
        <f>INDEX(SPI!$B$1:$I$931,$A45+(3*$B$1+2)*D$43+1,7)</f>
        <v>0.38601000000000002</v>
      </c>
      <c r="E45" s="14">
        <f>INDEX(SPI!$B$1:$I$931,$A45+(3*$B$1+2)*D$43+1,8)</f>
        <v>2.2751000000000001</v>
      </c>
      <c r="F45" s="14">
        <f>INDEX(SPI!$B$1:$I$931,$A45+(3*$B$1+2)*F$43+1,7)</f>
        <v>-1.4470000000000001</v>
      </c>
      <c r="G45" s="14">
        <f>INDEX(SPI!$B$1:$I$931,$A45+(3*$B$1+2)*F$43+1,8)</f>
        <v>0.22106999999999999</v>
      </c>
      <c r="H45" s="14">
        <f>INDEX(SPI!$B$1:$I$931,$A45+(3*$B$1+2)*H$43+1,7)</f>
        <v>0.83440999999999999</v>
      </c>
      <c r="I45" s="14">
        <f>INDEX(SPI!$B$1:$I$931,$A45+(3*$B$1+2)*H$43+1,8)</f>
        <v>7.6196999999999999</v>
      </c>
      <c r="J45" s="14">
        <f>INDEX(SPI!$B$1:$I$931,$A45+(3*$B$1+2)*J$43+1,7)</f>
        <v>-2.2419999999999999E-2</v>
      </c>
      <c r="K45" s="14">
        <f>INDEX(SPI!$B$1:$I$931,$A45+(3*$B$1+2)*J$43+1,8)</f>
        <v>-0.104</v>
      </c>
      <c r="L45" s="14">
        <f>INDEX(SPI!$B$1:$I$931,$A45+(3*$B$1+2)*L$43+1,7)</f>
        <v>6.7053000000000001E-2</v>
      </c>
      <c r="M45" s="14">
        <f>INDEX(SPI!$B$1:$I$931,$A45+(3*$B$1+2)*L$43+1,8)</f>
        <v>-1.413E-2</v>
      </c>
      <c r="N45" s="14">
        <f>INDEX(SPI!$B$1:$I$931,$A45+(3*$B$1+2)*N$43+1,7)</f>
        <v>-5.1380000000000002E-2</v>
      </c>
      <c r="O45" s="14">
        <f>INDEX(SPI!$B$1:$I$931,$A45+(3*$B$1+2)*N$43+1,8)</f>
        <v>-0.28129999999999999</v>
      </c>
      <c r="P45" s="14">
        <f>INDEX(SPI!$B$1:$I$931,$A45+(3*$B$1+2)*P$43+1,7)</f>
        <v>1.6948999999999999E-2</v>
      </c>
      <c r="Q45" s="14">
        <f>INDEX(SPI!$B$1:$I$931,$A45+(3*$B$1+2)*P$43+1,8)</f>
        <v>2.2273999999999999E-2</v>
      </c>
      <c r="R45" s="14">
        <f>INDEX(SPI!$B$1:$I$931,$A45+(3*$B$1+2)*R$43+1,7)</f>
        <v>-3.0360000000000002E-2</v>
      </c>
      <c r="S45" s="14">
        <f>INDEX(SPI!$B$1:$I$931,$A45+(3*$B$1+2)*R$43+1,8)</f>
        <v>2.0816000000000001E-2</v>
      </c>
      <c r="T45" s="14">
        <f>INDEX(SPI!$B$1:$I$931,$A45+(3*$B$1+2)*T$43+1,7)</f>
        <v>1.5793000000000001E-2</v>
      </c>
      <c r="U45" s="14">
        <f>INDEX(SPI!$B$1:$I$931,$A45+(3*$B$1+2)*T$43+1,8)</f>
        <v>4.5489000000000002E-2</v>
      </c>
      <c r="V45" s="14">
        <f>INDEX(SPI!$B$1:$I$931,$A45+(3*$B$1+2)*V$43+1,7)</f>
        <v>-2.6210000000000001E-3</v>
      </c>
      <c r="W45" s="14">
        <f>INDEX(SPI!$B$1:$I$931,$A45+(3*$B$1+2)*V$43+1,8)</f>
        <v>-7.4569999999999997E-4</v>
      </c>
      <c r="X45" s="14">
        <f>INDEX(SPI!$B$1:$I$931,$A45+(3*$B$1+2)*X$43+1,7)</f>
        <v>4.7155000000000001E-3</v>
      </c>
      <c r="Y45" s="14">
        <f>INDEX(SPI!$B$1:$I$931,$A45+(3*$B$1+2)*X$43+1,8)</f>
        <v>-1.304E-2</v>
      </c>
      <c r="Z45" s="14">
        <f>INDEX(SPI!$B$1:$I$931,$A45+(3*$B$1+2)*Z$43+1,7)</f>
        <v>-4.333E-3</v>
      </c>
      <c r="AA45" s="14">
        <f>INDEX(SPI!$B$1:$I$931,$A45+(3*$B$1+2)*Z$43+1,8)</f>
        <v>-6.1869999999999998E-3</v>
      </c>
      <c r="AB45" s="14">
        <f>INDEX(SPI!$B$1:$I$931,$A45+(3*$B$1+2)*AB$43+1,7)</f>
        <v>1.3144000000000001E-3</v>
      </c>
      <c r="AC45" s="14">
        <f>INDEX(SPI!$B$1:$I$931,$A45+(3*$B$1+2)*AB$43+1,8)</f>
        <v>1.7247000000000001E-4</v>
      </c>
      <c r="AD45" s="14">
        <f>INDEX(SPI!$B$1:$I$931,$A45+(3*$B$1+2)*AD$43+1,7)</f>
        <v>-6.9559999999999999E-4</v>
      </c>
      <c r="AE45" s="14">
        <f>INDEX(SPI!$B$1:$I$931,$A45+(3*$B$1+2)*AD$43+1,8)</f>
        <v>2.908E-3</v>
      </c>
      <c r="AF45" s="14">
        <f>INDEX(SPI!$B$1:$I$931,$A45+(3*$B$1+2)*AF$43+1,7)</f>
        <v>4.3885000000000001E-4</v>
      </c>
      <c r="AG45" s="14">
        <f>INDEX(SPI!$B$1:$I$931,$A45+(3*$B$1+2)*AF$43+1,8)</f>
        <v>4.0948999999999998E-4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>
      <c r="A46" s="13">
        <v>3</v>
      </c>
      <c r="B46" s="13"/>
      <c r="C46" s="13" t="s">
        <v>2</v>
      </c>
      <c r="D46" s="15">
        <f>INDEX(SPI!$B$1:$I$931,$A46+(3*$B$1+2)*D$43+1,7)</f>
        <v>0.12234</v>
      </c>
      <c r="E46" s="15">
        <f>INDEX(SPI!$B$1:$I$931,$A46+(3*$B$1+2)*D$43+1,8)</f>
        <v>0.72106999999999999</v>
      </c>
      <c r="F46" s="15">
        <f>INDEX(SPI!$B$1:$I$931,$A46+(3*$B$1+2)*F$43+1,7)</f>
        <v>-4.8090000000000001E-2</v>
      </c>
      <c r="G46" s="15">
        <f>INDEX(SPI!$B$1:$I$931,$A46+(3*$B$1+2)*F$43+1,8)</f>
        <v>7.3460000000000001E-3</v>
      </c>
      <c r="H46" s="15">
        <f>INDEX(SPI!$B$1:$I$931,$A46+(3*$B$1+2)*H$43+1,7)</f>
        <v>-5.5199999999999999E-2</v>
      </c>
      <c r="I46" s="15">
        <f>INDEX(SPI!$B$1:$I$931,$A46+(3*$B$1+2)*H$43+1,8)</f>
        <v>-0.504</v>
      </c>
      <c r="J46" s="15">
        <f>INDEX(SPI!$B$1:$I$931,$A46+(3*$B$1+2)*J$43+1,7)</f>
        <v>-5.1089999999999998E-3</v>
      </c>
      <c r="K46" s="15">
        <f>INDEX(SPI!$B$1:$I$931,$A46+(3*$B$1+2)*J$43+1,8)</f>
        <v>-2.3699999999999999E-2</v>
      </c>
      <c r="L46" s="15">
        <f>INDEX(SPI!$B$1:$I$931,$A46+(3*$B$1+2)*L$43+1,7)</f>
        <v>2.1050999999999999E-3</v>
      </c>
      <c r="M46" s="15">
        <f>INDEX(SPI!$B$1:$I$931,$A46+(3*$B$1+2)*L$43+1,8)</f>
        <v>-4.4349999999999999E-4</v>
      </c>
      <c r="N46" s="15">
        <f>INDEX(SPI!$B$1:$I$931,$A46+(3*$B$1+2)*N$43+1,7)</f>
        <v>3.5953999999999999E-3</v>
      </c>
      <c r="O46" s="15">
        <f>INDEX(SPI!$B$1:$I$931,$A46+(3*$B$1+2)*N$43+1,8)</f>
        <v>1.9689000000000002E-2</v>
      </c>
      <c r="P46" s="15">
        <f>INDEX(SPI!$B$1:$I$931,$A46+(3*$B$1+2)*P$43+1,7)</f>
        <v>2.3183000000000001E-3</v>
      </c>
      <c r="Q46" s="15">
        <f>INDEX(SPI!$B$1:$I$931,$A46+(3*$B$1+2)*P$43+1,8)</f>
        <v>3.0466999999999998E-3</v>
      </c>
      <c r="R46" s="15">
        <f>INDEX(SPI!$B$1:$I$931,$A46+(3*$B$1+2)*R$43+1,7)</f>
        <v>-1.3829999999999999E-3</v>
      </c>
      <c r="S46" s="15">
        <f>INDEX(SPI!$B$1:$I$931,$A46+(3*$B$1+2)*R$43+1,8)</f>
        <v>9.4855000000000004E-4</v>
      </c>
      <c r="T46" s="15">
        <f>INDEX(SPI!$B$1:$I$931,$A46+(3*$B$1+2)*T$43+1,7)</f>
        <v>-1.2080000000000001E-3</v>
      </c>
      <c r="U46" s="15">
        <f>INDEX(SPI!$B$1:$I$931,$A46+(3*$B$1+2)*T$43+1,8)</f>
        <v>-3.4780000000000002E-3</v>
      </c>
      <c r="V46" s="15">
        <f>INDEX(SPI!$B$1:$I$931,$A46+(3*$B$1+2)*V$43+1,7)</f>
        <v>-2.6049999999999999E-4</v>
      </c>
      <c r="W46" s="15">
        <f>INDEX(SPI!$B$1:$I$931,$A46+(3*$B$1+2)*V$43+1,8)</f>
        <v>-7.4109999999999993E-5</v>
      </c>
      <c r="X46" s="15">
        <f>INDEX(SPI!$B$1:$I$931,$A46+(3*$B$1+2)*X$43+1,7)</f>
        <v>1.1423E-4</v>
      </c>
      <c r="Y46" s="15">
        <f>INDEX(SPI!$B$1:$I$931,$A46+(3*$B$1+2)*X$43+1,8)</f>
        <v>-3.1579999999999998E-4</v>
      </c>
      <c r="Z46" s="15">
        <f>INDEX(SPI!$B$1:$I$931,$A46+(3*$B$1+2)*Z$43+1,7)</f>
        <v>3.6450000000000002E-4</v>
      </c>
      <c r="AA46" s="15">
        <f>INDEX(SPI!$B$1:$I$931,$A46+(3*$B$1+2)*Z$43+1,8)</f>
        <v>5.2044999999999999E-4</v>
      </c>
      <c r="AB46" s="15">
        <f>INDEX(SPI!$B$1:$I$931,$A46+(3*$B$1+2)*AB$43+1,7)</f>
        <v>-6.9880000000000002E-5</v>
      </c>
      <c r="AC46" s="15">
        <f>INDEX(SPI!$B$1:$I$931,$A46+(3*$B$1+2)*AB$43+1,8)</f>
        <v>-9.1689999999999998E-6</v>
      </c>
      <c r="AD46" s="15">
        <f>INDEX(SPI!$B$1:$I$931,$A46+(3*$B$1+2)*AD$43+1,7)</f>
        <v>5.7207000000000001E-6</v>
      </c>
      <c r="AE46" s="15">
        <f>INDEX(SPI!$B$1:$I$931,$A46+(3*$B$1+2)*AD$43+1,8)</f>
        <v>-2.3920000000000001E-5</v>
      </c>
      <c r="AF46" s="15">
        <f>INDEX(SPI!$B$1:$I$931,$A46+(3*$B$1+2)*AF$43+1,7)</f>
        <v>-3.6000000000000001E-5</v>
      </c>
      <c r="AG46" s="15">
        <f>INDEX(SPI!$B$1:$I$931,$A46+(3*$B$1+2)*AF$43+1,8)</f>
        <v>-3.3590000000000002E-5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0.85857000000000006</v>
      </c>
      <c r="E47" s="14">
        <f>IF($A47="","",INDEX(SPI!$B$1:$I$931,$A47+(3*$B$1+2)*D$43+1,8))</f>
        <v>5.0602999999999998</v>
      </c>
      <c r="F47" s="14">
        <f>IF($A47="","",INDEX(SPI!$B$1:$I$931,$A47+(3*$B$1+2)*F$43+1,7))</f>
        <v>10.951000000000001</v>
      </c>
      <c r="G47" s="14">
        <f>IF($A47="","",INDEX(SPI!$B$1:$I$931,$A47+(3*$B$1+2)*F$43+1,8))</f>
        <v>-1.673</v>
      </c>
      <c r="H47" s="14">
        <f>IF($A47="","",INDEX(SPI!$B$1:$I$931,$A47+(3*$B$1+2)*H$43+1,7))</f>
        <v>-0.25309999999999999</v>
      </c>
      <c r="I47" s="14">
        <f>IF($A47="","",INDEX(SPI!$B$1:$I$931,$A47+(3*$B$1+2)*H$43+1,8))</f>
        <v>-2.3109999999999999</v>
      </c>
      <c r="J47" s="14">
        <f>IF($A47="","",INDEX(SPI!$B$1:$I$931,$A47+(3*$B$1+2)*J$43+1,7))</f>
        <v>-8.2550000000000002E-3</v>
      </c>
      <c r="K47" s="14">
        <f>IF($A47="","",INDEX(SPI!$B$1:$I$931,$A47+(3*$B$1+2)*J$43+1,8))</f>
        <v>-3.8280000000000002E-2</v>
      </c>
      <c r="L47" s="14">
        <f>IF($A47="","",INDEX(SPI!$B$1:$I$931,$A47+(3*$B$1+2)*L$43+1,7))</f>
        <v>-7.7369999999999994E-2</v>
      </c>
      <c r="M47" s="14">
        <f>IF($A47="","",INDEX(SPI!$B$1:$I$931,$A47+(3*$B$1+2)*L$43+1,8))</f>
        <v>1.6301E-2</v>
      </c>
      <c r="N47" s="14">
        <f>IF($A47="","",INDEX(SPI!$B$1:$I$931,$A47+(3*$B$1+2)*N$43+1,7))</f>
        <v>3.8552E-3</v>
      </c>
      <c r="O47" s="14">
        <f>IF($A47="","",INDEX(SPI!$B$1:$I$931,$A47+(3*$B$1+2)*N$43+1,8))</f>
        <v>2.1111000000000001E-2</v>
      </c>
      <c r="P47" s="14">
        <f>IF($A47="","",INDEX(SPI!$B$1:$I$931,$A47+(3*$B$1+2)*P$43+1,7))</f>
        <v>-4.1759999999999999E-2</v>
      </c>
      <c r="Q47" s="14">
        <f>IF($A47="","",INDEX(SPI!$B$1:$I$931,$A47+(3*$B$1+2)*P$43+1,8))</f>
        <v>-5.4879999999999998E-2</v>
      </c>
      <c r="R47" s="14">
        <f>IF($A47="","",INDEX(SPI!$B$1:$I$931,$A47+(3*$B$1+2)*R$43+1,7))</f>
        <v>-4.9680000000000002E-2</v>
      </c>
      <c r="S47" s="14">
        <f>IF($A47="","",INDEX(SPI!$B$1:$I$931,$A47+(3*$B$1+2)*R$43+1,8))</f>
        <v>3.4063999999999997E-2</v>
      </c>
      <c r="T47" s="14">
        <f>IF($A47="","",INDEX(SPI!$B$1:$I$931,$A47+(3*$B$1+2)*T$43+1,7))</f>
        <v>5.6902000000000003E-3</v>
      </c>
      <c r="U47" s="14">
        <f>IF($A47="","",INDEX(SPI!$B$1:$I$931,$A47+(3*$B$1+2)*T$43+1,8))</f>
        <v>1.6389000000000001E-2</v>
      </c>
      <c r="V47" s="14">
        <f>IF($A47="","",INDEX(SPI!$B$1:$I$931,$A47+(3*$B$1+2)*V$43+1,7))</f>
        <v>3.9829000000000003E-2</v>
      </c>
      <c r="W47" s="14">
        <f>IF($A47="","",INDEX(SPI!$B$1:$I$931,$A47+(3*$B$1+2)*V$43+1,8))</f>
        <v>1.1332E-2</v>
      </c>
      <c r="X47" s="14">
        <f>IF($A47="","",INDEX(SPI!$B$1:$I$931,$A47+(3*$B$1+2)*X$43+1,7))</f>
        <v>2.5079E-3</v>
      </c>
      <c r="Y47" s="14">
        <f>IF($A47="","",INDEX(SPI!$B$1:$I$931,$A47+(3*$B$1+2)*X$43+1,8))</f>
        <v>-6.9350000000000002E-3</v>
      </c>
      <c r="Z47" s="14">
        <f>IF($A47="","",INDEX(SPI!$B$1:$I$931,$A47+(3*$B$1+2)*Z$43+1,7))</f>
        <v>-4.117E-3</v>
      </c>
      <c r="AA47" s="14">
        <f>IF($A47="","",INDEX(SPI!$B$1:$I$931,$A47+(3*$B$1+2)*Z$43+1,8))</f>
        <v>-5.8789999999999997E-3</v>
      </c>
      <c r="AB47" s="14">
        <f>IF($A47="","",INDEX(SPI!$B$1:$I$931,$A47+(3*$B$1+2)*AB$43+1,7))</f>
        <v>-7.2160000000000002E-3</v>
      </c>
      <c r="AC47" s="14">
        <f>IF($A47="","",INDEX(SPI!$B$1:$I$931,$A47+(3*$B$1+2)*AB$43+1,8))</f>
        <v>-9.4680000000000003E-4</v>
      </c>
      <c r="AD47" s="14">
        <f>IF($A47="","",INDEX(SPI!$B$1:$I$931,$A47+(3*$B$1+2)*AD$43+1,7))</f>
        <v>-4.4240000000000002E-4</v>
      </c>
      <c r="AE47" s="14">
        <f>IF($A47="","",INDEX(SPI!$B$1:$I$931,$A47+(3*$B$1+2)*AD$43+1,8))</f>
        <v>1.8495E-3</v>
      </c>
      <c r="AF47" s="14">
        <f>IF($A47="","",INDEX(SPI!$B$1:$I$931,$A47+(3*$B$1+2)*AF$43+1,7))</f>
        <v>3.9501E-4</v>
      </c>
      <c r="AG47" s="14">
        <f>IF($A47="","",INDEX(SPI!$B$1:$I$931,$A47+(3*$B$1+2)*AF$43+1,8))</f>
        <v>3.6858000000000003E-4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0.34883999999999998</v>
      </c>
      <c r="E48" s="14">
        <f>IF($A48="","",INDEX(SPI!$B$1:$I$931,$A48+(3*$B$1+2)*D$43+1,8))</f>
        <v>2.056</v>
      </c>
      <c r="F48" s="14">
        <f>IF($A48="","",INDEX(SPI!$B$1:$I$931,$A48+(3*$B$1+2)*F$43+1,7))</f>
        <v>-1.3440000000000001</v>
      </c>
      <c r="G48" s="14">
        <f>IF($A48="","",INDEX(SPI!$B$1:$I$931,$A48+(3*$B$1+2)*F$43+1,8))</f>
        <v>0.20522000000000001</v>
      </c>
      <c r="H48" s="14">
        <f>IF($A48="","",INDEX(SPI!$B$1:$I$931,$A48+(3*$B$1+2)*H$43+1,7))</f>
        <v>0.74589000000000005</v>
      </c>
      <c r="I48" s="14">
        <f>IF($A48="","",INDEX(SPI!$B$1:$I$931,$A48+(3*$B$1+2)*H$43+1,8))</f>
        <v>6.8113000000000001</v>
      </c>
      <c r="J48" s="14">
        <f>IF($A48="","",INDEX(SPI!$B$1:$I$931,$A48+(3*$B$1+2)*J$43+1,7))</f>
        <v>-4.1780000000000003E-3</v>
      </c>
      <c r="K48" s="14">
        <f>IF($A48="","",INDEX(SPI!$B$1:$I$931,$A48+(3*$B$1+2)*J$43+1,8))</f>
        <v>-1.9380000000000001E-2</v>
      </c>
      <c r="L48" s="14">
        <f>IF($A48="","",INDEX(SPI!$B$1:$I$931,$A48+(3*$B$1+2)*L$43+1,7))</f>
        <v>1.8145999999999999E-2</v>
      </c>
      <c r="M48" s="14">
        <f>IF($A48="","",INDEX(SPI!$B$1:$I$931,$A48+(3*$B$1+2)*L$43+1,8))</f>
        <v>-3.823E-3</v>
      </c>
      <c r="N48" s="14">
        <f>IF($A48="","",INDEX(SPI!$B$1:$I$931,$A48+(3*$B$1+2)*N$43+1,7))</f>
        <v>-1.027E-2</v>
      </c>
      <c r="O48" s="14">
        <f>IF($A48="","",INDEX(SPI!$B$1:$I$931,$A48+(3*$B$1+2)*N$43+1,8))</f>
        <v>-5.6230000000000002E-2</v>
      </c>
      <c r="P48" s="14">
        <f>IF($A48="","",INDEX(SPI!$B$1:$I$931,$A48+(3*$B$1+2)*P$43+1,7))</f>
        <v>-1.555E-2</v>
      </c>
      <c r="Q48" s="14">
        <f>IF($A48="","",INDEX(SPI!$B$1:$I$931,$A48+(3*$B$1+2)*P$43+1,8))</f>
        <v>-2.044E-2</v>
      </c>
      <c r="R48" s="14">
        <f>IF($A48="","",INDEX(SPI!$B$1:$I$931,$A48+(3*$B$1+2)*R$43+1,7))</f>
        <v>2.6501E-2</v>
      </c>
      <c r="S48" s="14">
        <f>IF($A48="","",INDEX(SPI!$B$1:$I$931,$A48+(3*$B$1+2)*R$43+1,8))</f>
        <v>-1.8169999999999999E-2</v>
      </c>
      <c r="T48" s="14">
        <f>IF($A48="","",INDEX(SPI!$B$1:$I$931,$A48+(3*$B$1+2)*T$43+1,7))</f>
        <v>-1.3650000000000001E-2</v>
      </c>
      <c r="U48" s="14">
        <f>IF($A48="","",INDEX(SPI!$B$1:$I$931,$A48+(3*$B$1+2)*T$43+1,8))</f>
        <v>-3.9309999999999998E-2</v>
      </c>
      <c r="V48" s="14">
        <f>IF($A48="","",INDEX(SPI!$B$1:$I$931,$A48+(3*$B$1+2)*V$43+1,7))</f>
        <v>4.6689000000000001E-3</v>
      </c>
      <c r="W48" s="14">
        <f>IF($A48="","",INDEX(SPI!$B$1:$I$931,$A48+(3*$B$1+2)*V$43+1,8))</f>
        <v>1.3284E-3</v>
      </c>
      <c r="X48" s="14">
        <f>IF($A48="","",INDEX(SPI!$B$1:$I$931,$A48+(3*$B$1+2)*X$43+1,7))</f>
        <v>-9.5639999999999996E-3</v>
      </c>
      <c r="Y48" s="14">
        <f>IF($A48="","",INDEX(SPI!$B$1:$I$931,$A48+(3*$B$1+2)*X$43+1,8))</f>
        <v>2.6445E-2</v>
      </c>
      <c r="Z48" s="14">
        <f>IF($A48="","",INDEX(SPI!$B$1:$I$931,$A48+(3*$B$1+2)*Z$43+1,7))</f>
        <v>8.6583000000000007E-3</v>
      </c>
      <c r="AA48" s="14">
        <f>IF($A48="","",INDEX(SPI!$B$1:$I$931,$A48+(3*$B$1+2)*Z$43+1,8))</f>
        <v>1.2363000000000001E-2</v>
      </c>
      <c r="AB48" s="14">
        <f>IF($A48="","",INDEX(SPI!$B$1:$I$931,$A48+(3*$B$1+2)*AB$43+1,7))</f>
        <v>-2.911E-3</v>
      </c>
      <c r="AC48" s="14">
        <f>IF($A48="","",INDEX(SPI!$B$1:$I$931,$A48+(3*$B$1+2)*AB$43+1,8))</f>
        <v>-3.8200000000000002E-4</v>
      </c>
      <c r="AD48" s="14">
        <f>IF($A48="","",INDEX(SPI!$B$1:$I$931,$A48+(3*$B$1+2)*AD$43+1,7))</f>
        <v>1.9471E-3</v>
      </c>
      <c r="AE48" s="14">
        <f>IF($A48="","",INDEX(SPI!$B$1:$I$931,$A48+(3*$B$1+2)*AD$43+1,8))</f>
        <v>-8.1399999999999997E-3</v>
      </c>
      <c r="AF48" s="14">
        <f>IF($A48="","",INDEX(SPI!$B$1:$I$931,$A48+(3*$B$1+2)*AF$43+1,7))</f>
        <v>-1.255E-3</v>
      </c>
      <c r="AG48" s="14">
        <f>IF($A48="","",INDEX(SPI!$B$1:$I$931,$A48+(3*$B$1+2)*AF$43+1,8))</f>
        <v>-1.1709999999999999E-3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0.10768999999999999</v>
      </c>
      <c r="E49" s="15">
        <f>IF($A49="","",INDEX(SPI!$B$1:$I$931,$A49+(3*$B$1+2)*D$43+1,8))</f>
        <v>0.63470000000000004</v>
      </c>
      <c r="F49" s="15">
        <f>IF($A49="","",INDEX(SPI!$B$1:$I$931,$A49+(3*$B$1+2)*F$43+1,7))</f>
        <v>-3.6110000000000003E-2</v>
      </c>
      <c r="G49" s="15">
        <f>IF($A49="","",INDEX(SPI!$B$1:$I$931,$A49+(3*$B$1+2)*F$43+1,8))</f>
        <v>5.5164999999999997E-3</v>
      </c>
      <c r="H49" s="15">
        <f>IF($A49="","",INDEX(SPI!$B$1:$I$931,$A49+(3*$B$1+2)*H$43+1,7))</f>
        <v>-4.9160000000000002E-2</v>
      </c>
      <c r="I49" s="15">
        <f>IF($A49="","",INDEX(SPI!$B$1:$I$931,$A49+(3*$B$1+2)*H$43+1,8))</f>
        <v>-0.44900000000000001</v>
      </c>
      <c r="J49" s="15">
        <f>IF($A49="","",INDEX(SPI!$B$1:$I$931,$A49+(3*$B$1+2)*J$43+1,7))</f>
        <v>-7.9310000000000003E-4</v>
      </c>
      <c r="K49" s="15">
        <f>IF($A49="","",INDEX(SPI!$B$1:$I$931,$A49+(3*$B$1+2)*J$43+1,8))</f>
        <v>-3.6779999999999998E-3</v>
      </c>
      <c r="L49" s="15">
        <f>IF($A49="","",INDEX(SPI!$B$1:$I$931,$A49+(3*$B$1+2)*L$43+1,7))</f>
        <v>-3.122E-4</v>
      </c>
      <c r="M49" s="15">
        <f>IF($A49="","",INDEX(SPI!$B$1:$I$931,$A49+(3*$B$1+2)*L$43+1,8))</f>
        <v>6.5761999999999998E-5</v>
      </c>
      <c r="N49" s="15">
        <f>IF($A49="","",INDEX(SPI!$B$1:$I$931,$A49+(3*$B$1+2)*N$43+1,7))</f>
        <v>6.7880000000000002E-4</v>
      </c>
      <c r="O49" s="15">
        <f>IF($A49="","",INDEX(SPI!$B$1:$I$931,$A49+(3*$B$1+2)*N$43+1,8))</f>
        <v>3.7171000000000001E-3</v>
      </c>
      <c r="P49" s="15">
        <f>IF($A49="","",INDEX(SPI!$B$1:$I$931,$A49+(3*$B$1+2)*P$43+1,7))</f>
        <v>-2.1789999999999999E-3</v>
      </c>
      <c r="Q49" s="15">
        <f>IF($A49="","",INDEX(SPI!$B$1:$I$931,$A49+(3*$B$1+2)*P$43+1,8))</f>
        <v>-2.8639999999999998E-3</v>
      </c>
      <c r="R49" s="15">
        <f>IF($A49="","",INDEX(SPI!$B$1:$I$931,$A49+(3*$B$1+2)*R$43+1,7))</f>
        <v>1.4372E-3</v>
      </c>
      <c r="S49" s="15">
        <f>IF($A49="","",INDEX(SPI!$B$1:$I$931,$A49+(3*$B$1+2)*R$43+1,8))</f>
        <v>-9.856000000000001E-4</v>
      </c>
      <c r="T49" s="15">
        <f>IF($A49="","",INDEX(SPI!$B$1:$I$931,$A49+(3*$B$1+2)*T$43+1,7))</f>
        <v>1.0614000000000001E-3</v>
      </c>
      <c r="U49" s="15">
        <f>IF($A49="","",INDEX(SPI!$B$1:$I$931,$A49+(3*$B$1+2)*T$43+1,8))</f>
        <v>3.0571000000000001E-3</v>
      </c>
      <c r="V49" s="15">
        <f>IF($A49="","",INDEX(SPI!$B$1:$I$931,$A49+(3*$B$1+2)*V$43+1,7))</f>
        <v>6.2111000000000002E-4</v>
      </c>
      <c r="W49" s="15">
        <f>IF($A49="","",INDEX(SPI!$B$1:$I$931,$A49+(3*$B$1+2)*V$43+1,8))</f>
        <v>1.7672E-4</v>
      </c>
      <c r="X49" s="15">
        <f>IF($A49="","",INDEX(SPI!$B$1:$I$931,$A49+(3*$B$1+2)*X$43+1,7))</f>
        <v>-2.745E-4</v>
      </c>
      <c r="Y49" s="15">
        <f>IF($A49="","",INDEX(SPI!$B$1:$I$931,$A49+(3*$B$1+2)*X$43+1,8))</f>
        <v>7.5893E-4</v>
      </c>
      <c r="Z49" s="15">
        <f>IF($A49="","",INDEX(SPI!$B$1:$I$931,$A49+(3*$B$1+2)*Z$43+1,7))</f>
        <v>-7.3399999999999995E-4</v>
      </c>
      <c r="AA49" s="15">
        <f>IF($A49="","",INDEX(SPI!$B$1:$I$931,$A49+(3*$B$1+2)*Z$43+1,8))</f>
        <v>-1.0480000000000001E-3</v>
      </c>
      <c r="AB49" s="15">
        <f>IF($A49="","",INDEX(SPI!$B$1:$I$931,$A49+(3*$B$1+2)*AB$43+1,7))</f>
        <v>1.2528999999999999E-4</v>
      </c>
      <c r="AC49" s="15">
        <f>IF($A49="","",INDEX(SPI!$B$1:$I$931,$A49+(3*$B$1+2)*AB$43+1,8))</f>
        <v>1.6439999999999998E-5</v>
      </c>
      <c r="AD49" s="15">
        <f>IF($A49="","",INDEX(SPI!$B$1:$I$931,$A49+(3*$B$1+2)*AD$43+1,7))</f>
        <v>-7.0709999999999997E-6</v>
      </c>
      <c r="AE49" s="15">
        <f>IF($A49="","",INDEX(SPI!$B$1:$I$931,$A49+(3*$B$1+2)*AD$43+1,8))</f>
        <v>2.9560000000000002E-5</v>
      </c>
      <c r="AF49" s="15">
        <f>IF($A49="","",INDEX(SPI!$B$1:$I$931,$A49+(3*$B$1+2)*AF$43+1,7))</f>
        <v>1.0077E-4</v>
      </c>
      <c r="AG49" s="15">
        <f>IF($A49="","",INDEX(SPI!$B$1:$I$931,$A49+(3*$B$1+2)*AF$43+1,8))</f>
        <v>9.4026999999999999E-5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0.69010000000000005</v>
      </c>
      <c r="E50" s="14">
        <f>IF($A50="","",INDEX(SPI!$B$1:$I$931,$A50+(3*$B$1+2)*D$43+1,8))</f>
        <v>4.0674000000000001</v>
      </c>
      <c r="F50" s="14">
        <f>IF($A50="","",INDEX(SPI!$B$1:$I$931,$A50+(3*$B$1+2)*F$43+1,7))</f>
        <v>8.8989999999999991</v>
      </c>
      <c r="G50" s="14">
        <f>IF($A50="","",INDEX(SPI!$B$1:$I$931,$A50+(3*$B$1+2)*F$43+1,8))</f>
        <v>-1.359</v>
      </c>
      <c r="H50" s="14">
        <f>IF($A50="","",INDEX(SPI!$B$1:$I$931,$A50+(3*$B$1+2)*H$43+1,7))</f>
        <v>-0.20630000000000001</v>
      </c>
      <c r="I50" s="14">
        <f>IF($A50="","",INDEX(SPI!$B$1:$I$931,$A50+(3*$B$1+2)*H$43+1,8))</f>
        <v>-1.8839999999999999</v>
      </c>
      <c r="J50" s="14">
        <f>IF($A50="","",INDEX(SPI!$B$1:$I$931,$A50+(3*$B$1+2)*J$43+1,7))</f>
        <v>3.0359000000000001E-2</v>
      </c>
      <c r="K50" s="14">
        <f>IF($A50="","",INDEX(SPI!$B$1:$I$931,$A50+(3*$B$1+2)*J$43+1,8))</f>
        <v>0.14079</v>
      </c>
      <c r="L50" s="14">
        <f>IF($A50="","",INDEX(SPI!$B$1:$I$931,$A50+(3*$B$1+2)*L$43+1,7))</f>
        <v>0.25557999999999997</v>
      </c>
      <c r="M50" s="14">
        <f>IF($A50="","",INDEX(SPI!$B$1:$I$931,$A50+(3*$B$1+2)*L$43+1,8))</f>
        <v>-5.3839999999999999E-2</v>
      </c>
      <c r="N50" s="14">
        <f>IF($A50="","",INDEX(SPI!$B$1:$I$931,$A50+(3*$B$1+2)*N$43+1,7))</f>
        <v>-1.167E-2</v>
      </c>
      <c r="O50" s="14">
        <f>IF($A50="","",INDEX(SPI!$B$1:$I$931,$A50+(3*$B$1+2)*N$43+1,8))</f>
        <v>-6.3930000000000001E-2</v>
      </c>
      <c r="P50" s="14">
        <f>IF($A50="","",INDEX(SPI!$B$1:$I$931,$A50+(3*$B$1+2)*P$43+1,7))</f>
        <v>-4.122E-2</v>
      </c>
      <c r="Q50" s="14">
        <f>IF($A50="","",INDEX(SPI!$B$1:$I$931,$A50+(3*$B$1+2)*P$43+1,8))</f>
        <v>-5.4170000000000003E-2</v>
      </c>
      <c r="R50" s="14">
        <f>IF($A50="","",INDEX(SPI!$B$1:$I$931,$A50+(3*$B$1+2)*R$43+1,7))</f>
        <v>-5.5989999999999998E-2</v>
      </c>
      <c r="S50" s="14">
        <f>IF($A50="","",INDEX(SPI!$B$1:$I$931,$A50+(3*$B$1+2)*R$43+1,8))</f>
        <v>3.8392999999999997E-2</v>
      </c>
      <c r="T50" s="14">
        <f>IF($A50="","",INDEX(SPI!$B$1:$I$931,$A50+(3*$B$1+2)*T$43+1,7))</f>
        <v>5.1786999999999996E-3</v>
      </c>
      <c r="U50" s="14">
        <f>IF($A50="","",INDEX(SPI!$B$1:$I$931,$A50+(3*$B$1+2)*T$43+1,8))</f>
        <v>1.4916E-2</v>
      </c>
      <c r="V50" s="14">
        <f>IF($A50="","",INDEX(SPI!$B$1:$I$931,$A50+(3*$B$1+2)*V$43+1,7))</f>
        <v>-2.5489999999999999E-2</v>
      </c>
      <c r="W50" s="14">
        <f>IF($A50="","",INDEX(SPI!$B$1:$I$931,$A50+(3*$B$1+2)*V$43+1,8))</f>
        <v>-7.2529999999999999E-3</v>
      </c>
      <c r="X50" s="14">
        <f>IF($A50="","",INDEX(SPI!$B$1:$I$931,$A50+(3*$B$1+2)*X$43+1,7))</f>
        <v>-4.8119999999999999E-4</v>
      </c>
      <c r="Y50" s="14">
        <f>IF($A50="","",INDEX(SPI!$B$1:$I$931,$A50+(3*$B$1+2)*X$43+1,8))</f>
        <v>1.3305999999999999E-3</v>
      </c>
      <c r="Z50" s="14">
        <f>IF($A50="","",INDEX(SPI!$B$1:$I$931,$A50+(3*$B$1+2)*Z$43+1,7))</f>
        <v>3.4285000000000001E-3</v>
      </c>
      <c r="AA50" s="14">
        <f>IF($A50="","",INDEX(SPI!$B$1:$I$931,$A50+(3*$B$1+2)*Z$43+1,8))</f>
        <v>4.8953E-3</v>
      </c>
      <c r="AB50" s="14">
        <f>IF($A50="","",INDEX(SPI!$B$1:$I$931,$A50+(3*$B$1+2)*AB$43+1,7))</f>
        <v>1.2135E-2</v>
      </c>
      <c r="AC50" s="14">
        <f>IF($A50="","",INDEX(SPI!$B$1:$I$931,$A50+(3*$B$1+2)*AB$43+1,8))</f>
        <v>1.5923000000000001E-3</v>
      </c>
      <c r="AD50" s="14">
        <f>IF($A50="","",INDEX(SPI!$B$1:$I$931,$A50+(3*$B$1+2)*AD$43+1,7))</f>
        <v>5.1223000000000002E-4</v>
      </c>
      <c r="AE50" s="14">
        <f>IF($A50="","",INDEX(SPI!$B$1:$I$931,$A50+(3*$B$1+2)*AD$43+1,8))</f>
        <v>-2.1410000000000001E-3</v>
      </c>
      <c r="AF50" s="14">
        <f>IF($A50="","",INDEX(SPI!$B$1:$I$931,$A50+(3*$B$1+2)*AF$43+1,7))</f>
        <v>-6.2660000000000005E-4</v>
      </c>
      <c r="AG50" s="14">
        <f>IF($A50="","",INDEX(SPI!$B$1:$I$931,$A50+(3*$B$1+2)*AF$43+1,8))</f>
        <v>-5.8469999999999996E-4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0.28749000000000002</v>
      </c>
      <c r="E51" s="14">
        <f>IF($A51="","",INDEX(SPI!$B$1:$I$931,$A51+(3*$B$1+2)*D$43+1,8))</f>
        <v>1.6943999999999999</v>
      </c>
      <c r="F51" s="14">
        <f>IF($A51="","",INDEX(SPI!$B$1:$I$931,$A51+(3*$B$1+2)*F$43+1,7))</f>
        <v>-1.1339999999999999</v>
      </c>
      <c r="G51" s="14">
        <f>IF($A51="","",INDEX(SPI!$B$1:$I$931,$A51+(3*$B$1+2)*F$43+1,8))</f>
        <v>0.17319000000000001</v>
      </c>
      <c r="H51" s="14">
        <f>IF($A51="","",INDEX(SPI!$B$1:$I$931,$A51+(3*$B$1+2)*H$43+1,7))</f>
        <v>0.60567000000000004</v>
      </c>
      <c r="I51" s="14">
        <f>IF($A51="","",INDEX(SPI!$B$1:$I$931,$A51+(3*$B$1+2)*H$43+1,8))</f>
        <v>5.5308000000000002</v>
      </c>
      <c r="J51" s="14">
        <f>IF($A51="","",INDEX(SPI!$B$1:$I$931,$A51+(3*$B$1+2)*J$43+1,7))</f>
        <v>1.5029000000000001E-2</v>
      </c>
      <c r="K51" s="14">
        <f>IF($A51="","",INDEX(SPI!$B$1:$I$931,$A51+(3*$B$1+2)*J$43+1,8))</f>
        <v>6.9697999999999996E-2</v>
      </c>
      <c r="L51" s="14">
        <f>IF($A51="","",INDEX(SPI!$B$1:$I$931,$A51+(3*$B$1+2)*L$43+1,7))</f>
        <v>-3.7260000000000001E-2</v>
      </c>
      <c r="M51" s="14">
        <f>IF($A51="","",INDEX(SPI!$B$1:$I$931,$A51+(3*$B$1+2)*L$43+1,8))</f>
        <v>7.8493E-3</v>
      </c>
      <c r="N51" s="14">
        <f>IF($A51="","",INDEX(SPI!$B$1:$I$931,$A51+(3*$B$1+2)*N$43+1,7))</f>
        <v>3.2096E-2</v>
      </c>
      <c r="O51" s="14">
        <f>IF($A51="","",INDEX(SPI!$B$1:$I$931,$A51+(3*$B$1+2)*N$43+1,8))</f>
        <v>0.17576</v>
      </c>
      <c r="P51" s="14">
        <f>IF($A51="","",INDEX(SPI!$B$1:$I$931,$A51+(3*$B$1+2)*P$43+1,7))</f>
        <v>-2.0140000000000002E-2</v>
      </c>
      <c r="Q51" s="14">
        <f>IF($A51="","",INDEX(SPI!$B$1:$I$931,$A51+(3*$B$1+2)*P$43+1,8))</f>
        <v>-2.647E-2</v>
      </c>
      <c r="R51" s="14">
        <f>IF($A51="","",INDEX(SPI!$B$1:$I$931,$A51+(3*$B$1+2)*R$43+1,7))</f>
        <v>3.0679999999999999E-2</v>
      </c>
      <c r="S51" s="14">
        <f>IF($A51="","",INDEX(SPI!$B$1:$I$931,$A51+(3*$B$1+2)*R$43+1,8))</f>
        <v>-2.104E-2</v>
      </c>
      <c r="T51" s="14">
        <f>IF($A51="","",INDEX(SPI!$B$1:$I$931,$A51+(3*$B$1+2)*T$43+1,7))</f>
        <v>-1.521E-2</v>
      </c>
      <c r="U51" s="14">
        <f>IF($A51="","",INDEX(SPI!$B$1:$I$931,$A51+(3*$B$1+2)*T$43+1,8))</f>
        <v>-4.3819999999999998E-2</v>
      </c>
      <c r="V51" s="14">
        <f>IF($A51="","",INDEX(SPI!$B$1:$I$931,$A51+(3*$B$1+2)*V$43+1,7))</f>
        <v>1.7907999999999999E-3</v>
      </c>
      <c r="W51" s="14">
        <f>IF($A51="","",INDEX(SPI!$B$1:$I$931,$A51+(3*$B$1+2)*V$43+1,8))</f>
        <v>5.0951999999999996E-4</v>
      </c>
      <c r="X51" s="14">
        <f>IF($A51="","",INDEX(SPI!$B$1:$I$931,$A51+(3*$B$1+2)*X$43+1,7))</f>
        <v>4.1659000000000002E-3</v>
      </c>
      <c r="Y51" s="14">
        <f>IF($A51="","",INDEX(SPI!$B$1:$I$931,$A51+(3*$B$1+2)*X$43+1,8))</f>
        <v>-1.1520000000000001E-2</v>
      </c>
      <c r="Z51" s="14">
        <f>IF($A51="","",INDEX(SPI!$B$1:$I$931,$A51+(3*$B$1+2)*Z$43+1,7))</f>
        <v>-4.8260000000000004E-3</v>
      </c>
      <c r="AA51" s="14">
        <f>IF($A51="","",INDEX(SPI!$B$1:$I$931,$A51+(3*$B$1+2)*Z$43+1,8))</f>
        <v>-6.8910000000000004E-3</v>
      </c>
      <c r="AB51" s="14">
        <f>IF($A51="","",INDEX(SPI!$B$1:$I$931,$A51+(3*$B$1+2)*AB$43+1,7))</f>
        <v>1.5744999999999999E-3</v>
      </c>
      <c r="AC51" s="14">
        <f>IF($A51="","",INDEX(SPI!$B$1:$I$931,$A51+(3*$B$1+2)*AB$43+1,8))</f>
        <v>2.0659000000000001E-4</v>
      </c>
      <c r="AD51" s="14">
        <f>IF($A51="","",INDEX(SPI!$B$1:$I$931,$A51+(3*$B$1+2)*AD$43+1,7))</f>
        <v>-2.588E-3</v>
      </c>
      <c r="AE51" s="14">
        <f>IF($A51="","",INDEX(SPI!$B$1:$I$931,$A51+(3*$B$1+2)*AD$43+1,8))</f>
        <v>1.0817E-2</v>
      </c>
      <c r="AF51" s="14">
        <f>IF($A51="","",INDEX(SPI!$B$1:$I$931,$A51+(3*$B$1+2)*AF$43+1,7))</f>
        <v>1.939E-3</v>
      </c>
      <c r="AG51" s="14">
        <f>IF($A51="","",INDEX(SPI!$B$1:$I$931,$A51+(3*$B$1+2)*AF$43+1,8))</f>
        <v>1.8093E-3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8.5726999999999998E-2</v>
      </c>
      <c r="E52" s="15">
        <f>IF($A52="","",INDEX(SPI!$B$1:$I$931,$A52+(3*$B$1+2)*D$43+1,8))</f>
        <v>0.50526000000000004</v>
      </c>
      <c r="F52" s="15">
        <f>IF($A52="","",INDEX(SPI!$B$1:$I$931,$A52+(3*$B$1+2)*F$43+1,7))</f>
        <v>-2.3279999999999999E-2</v>
      </c>
      <c r="G52" s="15">
        <f>IF($A52="","",INDEX(SPI!$B$1:$I$931,$A52+(3*$B$1+2)*F$43+1,8))</f>
        <v>3.5558999999999999E-3</v>
      </c>
      <c r="H52" s="15">
        <f>IF($A52="","",INDEX(SPI!$B$1:$I$931,$A52+(3*$B$1+2)*H$43+1,7))</f>
        <v>-3.9710000000000002E-2</v>
      </c>
      <c r="I52" s="15">
        <f>IF($A52="","",INDEX(SPI!$B$1:$I$931,$A52+(3*$B$1+2)*H$43+1,8))</f>
        <v>-0.36270000000000002</v>
      </c>
      <c r="J52" s="15">
        <f>IF($A52="","",INDEX(SPI!$B$1:$I$931,$A52+(3*$B$1+2)*J$43+1,7))</f>
        <v>3.3417E-3</v>
      </c>
      <c r="K52" s="15">
        <f>IF($A52="","",INDEX(SPI!$B$1:$I$931,$A52+(3*$B$1+2)*J$43+1,8))</f>
        <v>1.5498E-2</v>
      </c>
      <c r="L52" s="15">
        <f>IF($A52="","",INDEX(SPI!$B$1:$I$931,$A52+(3*$B$1+2)*L$43+1,7))</f>
        <v>-1.9910000000000001E-3</v>
      </c>
      <c r="M52" s="15">
        <f>IF($A52="","",INDEX(SPI!$B$1:$I$931,$A52+(3*$B$1+2)*L$43+1,8))</f>
        <v>4.1941999999999999E-4</v>
      </c>
      <c r="N52" s="15">
        <f>IF($A52="","",INDEX(SPI!$B$1:$I$931,$A52+(3*$B$1+2)*N$43+1,7))</f>
        <v>-2.2539999999999999E-3</v>
      </c>
      <c r="O52" s="15">
        <f>IF($A52="","",INDEX(SPI!$B$1:$I$931,$A52+(3*$B$1+2)*N$43+1,8))</f>
        <v>-1.234E-2</v>
      </c>
      <c r="P52" s="15">
        <f>IF($A52="","",INDEX(SPI!$B$1:$I$931,$A52+(3*$B$1+2)*P$43+1,7))</f>
        <v>-1.797E-3</v>
      </c>
      <c r="Q52" s="15">
        <f>IF($A52="","",INDEX(SPI!$B$1:$I$931,$A52+(3*$B$1+2)*P$43+1,8))</f>
        <v>-2.362E-3</v>
      </c>
      <c r="R52" s="15">
        <f>IF($A52="","",INDEX(SPI!$B$1:$I$931,$A52+(3*$B$1+2)*R$43+1,7))</f>
        <v>1.1812000000000001E-3</v>
      </c>
      <c r="S52" s="15">
        <f>IF($A52="","",INDEX(SPI!$B$1:$I$931,$A52+(3*$B$1+2)*R$43+1,8))</f>
        <v>-8.0999999999999996E-4</v>
      </c>
      <c r="T52" s="15">
        <f>IF($A52="","",INDEX(SPI!$B$1:$I$931,$A52+(3*$B$1+2)*T$43+1,7))</f>
        <v>1.0753E-3</v>
      </c>
      <c r="U52" s="15">
        <f>IF($A52="","",INDEX(SPI!$B$1:$I$931,$A52+(3*$B$1+2)*T$43+1,8))</f>
        <v>3.0972999999999999E-3</v>
      </c>
      <c r="V52" s="15">
        <f>IF($A52="","",INDEX(SPI!$B$1:$I$931,$A52+(3*$B$1+2)*V$43+1,7))</f>
        <v>-8.0539999999999995E-4</v>
      </c>
      <c r="W52" s="15">
        <f>IF($A52="","",INDEX(SPI!$B$1:$I$931,$A52+(3*$B$1+2)*V$43+1,8))</f>
        <v>-2.2919999999999999E-4</v>
      </c>
      <c r="X52" s="15">
        <f>IF($A52="","",INDEX(SPI!$B$1:$I$931,$A52+(3*$B$1+2)*X$43+1,7))</f>
        <v>2.9096999999999999E-4</v>
      </c>
      <c r="Y52" s="15">
        <f>IF($A52="","",INDEX(SPI!$B$1:$I$931,$A52+(3*$B$1+2)*X$43+1,8))</f>
        <v>-8.0449999999999999E-4</v>
      </c>
      <c r="Z52" s="15">
        <f>IF($A52="","",INDEX(SPI!$B$1:$I$931,$A52+(3*$B$1+2)*Z$43+1,7))</f>
        <v>4.7820000000000002E-4</v>
      </c>
      <c r="AA52" s="15">
        <f>IF($A52="","",INDEX(SPI!$B$1:$I$931,$A52+(3*$B$1+2)*Z$43+1,8))</f>
        <v>6.8280000000000001E-4</v>
      </c>
      <c r="AB52" s="15">
        <f>IF($A52="","",INDEX(SPI!$B$1:$I$931,$A52+(3*$B$1+2)*AB$43+1,7))</f>
        <v>4.6458999999999997E-5</v>
      </c>
      <c r="AC52" s="15">
        <f>IF($A52="","",INDEX(SPI!$B$1:$I$931,$A52+(3*$B$1+2)*AB$43+1,8))</f>
        <v>6.0961E-6</v>
      </c>
      <c r="AD52" s="15">
        <f>IF($A52="","",INDEX(SPI!$B$1:$I$931,$A52+(3*$B$1+2)*AD$43+1,7))</f>
        <v>-2.181E-5</v>
      </c>
      <c r="AE52" s="15">
        <f>IF($A52="","",INDEX(SPI!$B$1:$I$931,$A52+(3*$B$1+2)*AD$43+1,8))</f>
        <v>9.1195999999999999E-5</v>
      </c>
      <c r="AF52" s="15">
        <f>IF($A52="","",INDEX(SPI!$B$1:$I$931,$A52+(3*$B$1+2)*AF$43+1,7))</f>
        <v>-1.572E-4</v>
      </c>
      <c r="AG52" s="15">
        <f>IF($A52="","",INDEX(SPI!$B$1:$I$931,$A52+(3*$B$1+2)*AF$43+1,8))</f>
        <v>-1.4669999999999999E-4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0.46488000000000002</v>
      </c>
      <c r="E53" s="14">
        <f>IF($A53="","",INDEX(SPI!$B$1:$I$931,$A53+(3*$B$1+2)*D$43+1,8))</f>
        <v>2.7399</v>
      </c>
      <c r="F53" s="14">
        <f>IF($A53="","",INDEX(SPI!$B$1:$I$931,$A53+(3*$B$1+2)*F$43+1,7))</f>
        <v>6.1212999999999997</v>
      </c>
      <c r="G53" s="14">
        <f>IF($A53="","",INDEX(SPI!$B$1:$I$931,$A53+(3*$B$1+2)*F$43+1,8))</f>
        <v>-0.93500000000000005</v>
      </c>
      <c r="H53" s="14">
        <f>IF($A53="","",INDEX(SPI!$B$1:$I$931,$A53+(3*$B$1+2)*H$43+1,7))</f>
        <v>-0.1419</v>
      </c>
      <c r="I53" s="14">
        <f>IF($A53="","",INDEX(SPI!$B$1:$I$931,$A53+(3*$B$1+2)*H$43+1,8))</f>
        <v>-1.296</v>
      </c>
      <c r="J53" s="14">
        <f>IF($A53="","",INDEX(SPI!$B$1:$I$931,$A53+(3*$B$1+2)*J$43+1,7))</f>
        <v>4.5531000000000002E-2</v>
      </c>
      <c r="K53" s="14">
        <f>IF($A53="","",INDEX(SPI!$B$1:$I$931,$A53+(3*$B$1+2)*J$43+1,8))</f>
        <v>0.21115999999999999</v>
      </c>
      <c r="L53" s="14">
        <f>IF($A53="","",INDEX(SPI!$B$1:$I$931,$A53+(3*$B$1+2)*L$43+1,7))</f>
        <v>0.40106000000000003</v>
      </c>
      <c r="M53" s="14">
        <f>IF($A53="","",INDEX(SPI!$B$1:$I$931,$A53+(3*$B$1+2)*L$43+1,8))</f>
        <v>-8.4489999999999996E-2</v>
      </c>
      <c r="N53" s="14">
        <f>IF($A53="","",INDEX(SPI!$B$1:$I$931,$A53+(3*$B$1+2)*N$43+1,7))</f>
        <v>-1.8079999999999999E-2</v>
      </c>
      <c r="O53" s="14">
        <f>IF($A53="","",INDEX(SPI!$B$1:$I$931,$A53+(3*$B$1+2)*N$43+1,8))</f>
        <v>-9.9019999999999997E-2</v>
      </c>
      <c r="P53" s="14">
        <f>IF($A53="","",INDEX(SPI!$B$1:$I$931,$A53+(3*$B$1+2)*P$43+1,7))</f>
        <v>3.5626999999999999E-2</v>
      </c>
      <c r="Q53" s="14">
        <f>IF($A53="","",INDEX(SPI!$B$1:$I$931,$A53+(3*$B$1+2)*P$43+1,8))</f>
        <v>4.6821000000000002E-2</v>
      </c>
      <c r="R53" s="14">
        <f>IF($A53="","",INDEX(SPI!$B$1:$I$931,$A53+(3*$B$1+2)*R$43+1,7))</f>
        <v>3.5464000000000002E-2</v>
      </c>
      <c r="S53" s="14">
        <f>IF($A53="","",INDEX(SPI!$B$1:$I$931,$A53+(3*$B$1+2)*R$43+1,8))</f>
        <v>-2.4320000000000001E-2</v>
      </c>
      <c r="T53" s="14">
        <f>IF($A53="","",INDEX(SPI!$B$1:$I$931,$A53+(3*$B$1+2)*T$43+1,7))</f>
        <v>-4.9389999999999998E-3</v>
      </c>
      <c r="U53" s="14">
        <f>IF($A53="","",INDEX(SPI!$B$1:$I$931,$A53+(3*$B$1+2)*T$43+1,8))</f>
        <v>-1.422E-2</v>
      </c>
      <c r="V53" s="14">
        <f>IF($A53="","",INDEX(SPI!$B$1:$I$931,$A53+(3*$B$1+2)*V$43+1,7))</f>
        <v>-1.7330000000000002E-2</v>
      </c>
      <c r="W53" s="14">
        <f>IF($A53="","",INDEX(SPI!$B$1:$I$931,$A53+(3*$B$1+2)*V$43+1,8))</f>
        <v>-4.9309999999999996E-3</v>
      </c>
      <c r="X53" s="14">
        <f>IF($A53="","",INDEX(SPI!$B$1:$I$931,$A53+(3*$B$1+2)*X$43+1,7))</f>
        <v>-2.398E-3</v>
      </c>
      <c r="Y53" s="14">
        <f>IF($A53="","",INDEX(SPI!$B$1:$I$931,$A53+(3*$B$1+2)*X$43+1,8))</f>
        <v>6.6311E-3</v>
      </c>
      <c r="Z53" s="14">
        <f>IF($A53="","",INDEX(SPI!$B$1:$I$931,$A53+(3*$B$1+2)*Z$43+1,7))</f>
        <v>-6.1020000000000002E-5</v>
      </c>
      <c r="AA53" s="14">
        <f>IF($A53="","",INDEX(SPI!$B$1:$I$931,$A53+(3*$B$1+2)*Z$43+1,8))</f>
        <v>-8.7130000000000001E-5</v>
      </c>
      <c r="AB53" s="14">
        <f>IF($A53="","",INDEX(SPI!$B$1:$I$931,$A53+(3*$B$1+2)*AB$43+1,7))</f>
        <v>-1.436E-2</v>
      </c>
      <c r="AC53" s="14">
        <f>IF($A53="","",INDEX(SPI!$B$1:$I$931,$A53+(3*$B$1+2)*AB$43+1,8))</f>
        <v>-1.885E-3</v>
      </c>
      <c r="AD53" s="14">
        <f>IF($A53="","",INDEX(SPI!$B$1:$I$931,$A53+(3*$B$1+2)*AD$43+1,7))</f>
        <v>-2.8190000000000002E-4</v>
      </c>
      <c r="AE53" s="14">
        <f>IF($A53="","",INDEX(SPI!$B$1:$I$931,$A53+(3*$B$1+2)*AD$43+1,8))</f>
        <v>1.1785000000000001E-3</v>
      </c>
      <c r="AF53" s="14">
        <f>IF($A53="","",INDEX(SPI!$B$1:$I$931,$A53+(3*$B$1+2)*AF$43+1,7))</f>
        <v>7.0828999999999998E-4</v>
      </c>
      <c r="AG53" s="14">
        <f>IF($A53="","",INDEX(SPI!$B$1:$I$931,$A53+(3*$B$1+2)*AF$43+1,8))</f>
        <v>6.6091000000000001E-4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0.20374</v>
      </c>
      <c r="E54" s="14">
        <f>IF($A54="","",INDEX(SPI!$B$1:$I$931,$A54+(3*$B$1+2)*D$43+1,8))</f>
        <v>1.2008000000000001</v>
      </c>
      <c r="F54" s="14">
        <f>IF($A54="","",INDEX(SPI!$B$1:$I$931,$A54+(3*$B$1+2)*F$43+1,7))</f>
        <v>-0.82150000000000001</v>
      </c>
      <c r="G54" s="14">
        <f>IF($A54="","",INDEX(SPI!$B$1:$I$931,$A54+(3*$B$1+2)*F$43+1,8))</f>
        <v>0.12548000000000001</v>
      </c>
      <c r="H54" s="14">
        <f>IF($A54="","",INDEX(SPI!$B$1:$I$931,$A54+(3*$B$1+2)*H$43+1,7))</f>
        <v>0.41625000000000001</v>
      </c>
      <c r="I54" s="14">
        <f>IF($A54="","",INDEX(SPI!$B$1:$I$931,$A54+(3*$B$1+2)*H$43+1,8))</f>
        <v>3.8010999999999999</v>
      </c>
      <c r="J54" s="14">
        <f>IF($A54="","",INDEX(SPI!$B$1:$I$931,$A54+(3*$B$1+2)*J$43+1,7))</f>
        <v>2.4177000000000001E-2</v>
      </c>
      <c r="K54" s="14">
        <f>IF($A54="","",INDEX(SPI!$B$1:$I$931,$A54+(3*$B$1+2)*J$43+1,8))</f>
        <v>0.11212999999999999</v>
      </c>
      <c r="L54" s="14">
        <f>IF($A54="","",INDEX(SPI!$B$1:$I$931,$A54+(3*$B$1+2)*L$43+1,7))</f>
        <v>-6.3899999999999998E-2</v>
      </c>
      <c r="M54" s="14">
        <f>IF($A54="","",INDEX(SPI!$B$1:$I$931,$A54+(3*$B$1+2)*L$43+1,8))</f>
        <v>1.3461000000000001E-2</v>
      </c>
      <c r="N54" s="14">
        <f>IF($A54="","",INDEX(SPI!$B$1:$I$931,$A54+(3*$B$1+2)*N$43+1,7))</f>
        <v>5.0865E-2</v>
      </c>
      <c r="O54" s="14">
        <f>IF($A54="","",INDEX(SPI!$B$1:$I$931,$A54+(3*$B$1+2)*N$43+1,8))</f>
        <v>0.27854000000000001</v>
      </c>
      <c r="P54" s="14">
        <f>IF($A54="","",INDEX(SPI!$B$1:$I$931,$A54+(3*$B$1+2)*P$43+1,7))</f>
        <v>5.9240999999999999E-3</v>
      </c>
      <c r="Q54" s="14">
        <f>IF($A54="","",INDEX(SPI!$B$1:$I$931,$A54+(3*$B$1+2)*P$43+1,8))</f>
        <v>7.7856000000000002E-3</v>
      </c>
      <c r="R54" s="14">
        <f>IF($A54="","",INDEX(SPI!$B$1:$I$931,$A54+(3*$B$1+2)*R$43+1,7))</f>
        <v>-1.7950000000000001E-2</v>
      </c>
      <c r="S54" s="14">
        <f>IF($A54="","",INDEX(SPI!$B$1:$I$931,$A54+(3*$B$1+2)*R$43+1,8))</f>
        <v>1.2311000000000001E-2</v>
      </c>
      <c r="T54" s="14">
        <f>IF($A54="","",INDEX(SPI!$B$1:$I$931,$A54+(3*$B$1+2)*T$43+1,7))</f>
        <v>1.0312E-2</v>
      </c>
      <c r="U54" s="14">
        <f>IF($A54="","",INDEX(SPI!$B$1:$I$931,$A54+(3*$B$1+2)*T$43+1,8))</f>
        <v>2.9701999999999999E-2</v>
      </c>
      <c r="V54" s="14">
        <f>IF($A54="","",INDEX(SPI!$B$1:$I$931,$A54+(3*$B$1+2)*V$43+1,7))</f>
        <v>-6.0359999999999997E-3</v>
      </c>
      <c r="W54" s="14">
        <f>IF($A54="","",INDEX(SPI!$B$1:$I$931,$A54+(3*$B$1+2)*V$43+1,8))</f>
        <v>-1.717E-3</v>
      </c>
      <c r="X54" s="14">
        <f>IF($A54="","",INDEX(SPI!$B$1:$I$931,$A54+(3*$B$1+2)*X$43+1,7))</f>
        <v>5.9236999999999996E-3</v>
      </c>
      <c r="Y54" s="14">
        <f>IF($A54="","",INDEX(SPI!$B$1:$I$931,$A54+(3*$B$1+2)*X$43+1,8))</f>
        <v>-1.6379999999999999E-2</v>
      </c>
      <c r="Z54" s="14">
        <f>IF($A54="","",INDEX(SPI!$B$1:$I$931,$A54+(3*$B$1+2)*Z$43+1,7))</f>
        <v>-4.7359999999999998E-3</v>
      </c>
      <c r="AA54" s="14">
        <f>IF($A54="","",INDEX(SPI!$B$1:$I$931,$A54+(3*$B$1+2)*Z$43+1,8))</f>
        <v>-6.7619999999999998E-3</v>
      </c>
      <c r="AB54" s="14">
        <f>IF($A54="","",INDEX(SPI!$B$1:$I$931,$A54+(3*$B$1+2)*AB$43+1,7))</f>
        <v>2.4060000000000002E-3</v>
      </c>
      <c r="AC54" s="14">
        <f>IF($A54="","",INDEX(SPI!$B$1:$I$931,$A54+(3*$B$1+2)*AB$43+1,8))</f>
        <v>3.1571000000000002E-4</v>
      </c>
      <c r="AD54" s="14">
        <f>IF($A54="","",INDEX(SPI!$B$1:$I$931,$A54+(3*$B$1+2)*AD$43+1,7))</f>
        <v>2.1461000000000002E-3</v>
      </c>
      <c r="AE54" s="14">
        <f>IF($A54="","",INDEX(SPI!$B$1:$I$931,$A54+(3*$B$1+2)*AD$43+1,8))</f>
        <v>-8.9720000000000008E-3</v>
      </c>
      <c r="AF54" s="14">
        <f>IF($A54="","",INDEX(SPI!$B$1:$I$931,$A54+(3*$B$1+2)*AF$43+1,7))</f>
        <v>-2.0609999999999999E-3</v>
      </c>
      <c r="AG54" s="14">
        <f>IF($A54="","",INDEX(SPI!$B$1:$I$931,$A54+(3*$B$1+2)*AF$43+1,8))</f>
        <v>-1.923E-3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5.6891999999999998E-2</v>
      </c>
      <c r="E55" s="15">
        <f>IF($A55="","",INDEX(SPI!$B$1:$I$931,$A55+(3*$B$1+2)*D$43+1,8))</f>
        <v>0.33532000000000001</v>
      </c>
      <c r="F55" s="15">
        <f>IF($A55="","",INDEX(SPI!$B$1:$I$931,$A55+(3*$B$1+2)*F$43+1,7))</f>
        <v>-1.0200000000000001E-2</v>
      </c>
      <c r="G55" s="15">
        <f>IF($A55="","",INDEX(SPI!$B$1:$I$931,$A55+(3*$B$1+2)*F$43+1,8))</f>
        <v>1.5579000000000001E-3</v>
      </c>
      <c r="H55" s="15">
        <f>IF($A55="","",INDEX(SPI!$B$1:$I$931,$A55+(3*$B$1+2)*H$43+1,7))</f>
        <v>-2.7019999999999999E-2</v>
      </c>
      <c r="I55" s="15">
        <f>IF($A55="","",INDEX(SPI!$B$1:$I$931,$A55+(3*$B$1+2)*H$43+1,8))</f>
        <v>-0.24679999999999999</v>
      </c>
      <c r="J55" s="15">
        <f>IF($A55="","",INDEX(SPI!$B$1:$I$931,$A55+(3*$B$1+2)*J$43+1,7))</f>
        <v>4.8631999999999998E-3</v>
      </c>
      <c r="K55" s="15">
        <f>IF($A55="","",INDEX(SPI!$B$1:$I$931,$A55+(3*$B$1+2)*J$43+1,8))</f>
        <v>2.2554000000000001E-2</v>
      </c>
      <c r="L55" s="15">
        <f>IF($A55="","",INDEX(SPI!$B$1:$I$931,$A55+(3*$B$1+2)*L$43+1,7))</f>
        <v>-2.2859999999999998E-3</v>
      </c>
      <c r="M55" s="15">
        <f>IF($A55="","",INDEX(SPI!$B$1:$I$931,$A55+(3*$B$1+2)*L$43+1,8))</f>
        <v>4.8157000000000001E-4</v>
      </c>
      <c r="N55" s="15">
        <f>IF($A55="","",INDEX(SPI!$B$1:$I$931,$A55+(3*$B$1+2)*N$43+1,7))</f>
        <v>-3.4680000000000002E-3</v>
      </c>
      <c r="O55" s="15">
        <f>IF($A55="","",INDEX(SPI!$B$1:$I$931,$A55+(3*$B$1+2)*N$43+1,8))</f>
        <v>-1.899E-2</v>
      </c>
      <c r="P55" s="15">
        <f>IF($A55="","",INDEX(SPI!$B$1:$I$931,$A55+(3*$B$1+2)*P$43+1,7))</f>
        <v>2.2918999999999999E-3</v>
      </c>
      <c r="Q55" s="15">
        <f>IF($A55="","",INDEX(SPI!$B$1:$I$931,$A55+(3*$B$1+2)*P$43+1,8))</f>
        <v>3.0121000000000002E-3</v>
      </c>
      <c r="R55" s="15">
        <f>IF($A55="","",INDEX(SPI!$B$1:$I$931,$A55+(3*$B$1+2)*R$43+1,7))</f>
        <v>-1.328E-3</v>
      </c>
      <c r="S55" s="15">
        <f>IF($A55="","",INDEX(SPI!$B$1:$I$931,$A55+(3*$B$1+2)*R$43+1,8))</f>
        <v>9.1036000000000003E-4</v>
      </c>
      <c r="T55" s="15">
        <f>IF($A55="","",INDEX(SPI!$B$1:$I$931,$A55+(3*$B$1+2)*T$43+1,7))</f>
        <v>-8.5240000000000001E-4</v>
      </c>
      <c r="U55" s="15">
        <f>IF($A55="","",INDEX(SPI!$B$1:$I$931,$A55+(3*$B$1+2)*T$43+1,8))</f>
        <v>-2.4550000000000002E-3</v>
      </c>
      <c r="V55" s="15">
        <f>IF($A55="","",INDEX(SPI!$B$1:$I$931,$A55+(3*$B$1+2)*V$43+1,7))</f>
        <v>1.2538999999999999E-4</v>
      </c>
      <c r="W55" s="15">
        <f>IF($A55="","",INDEX(SPI!$B$1:$I$931,$A55+(3*$B$1+2)*V$43+1,8))</f>
        <v>3.5676000000000002E-5</v>
      </c>
      <c r="X55" s="15">
        <f>IF($A55="","",INDEX(SPI!$B$1:$I$931,$A55+(3*$B$1+2)*X$43+1,7))</f>
        <v>1.6943E-5</v>
      </c>
      <c r="Y55" s="15">
        <f>IF($A55="","",INDEX(SPI!$B$1:$I$931,$A55+(3*$B$1+2)*X$43+1,8))</f>
        <v>-4.685E-5</v>
      </c>
      <c r="Z55" s="15">
        <f>IF($A55="","",INDEX(SPI!$B$1:$I$931,$A55+(3*$B$1+2)*Z$43+1,7))</f>
        <v>2.6773999999999998E-4</v>
      </c>
      <c r="AA55" s="15">
        <f>IF($A55="","",INDEX(SPI!$B$1:$I$931,$A55+(3*$B$1+2)*Z$43+1,8))</f>
        <v>3.8230000000000002E-4</v>
      </c>
      <c r="AB55" s="15">
        <f>IF($A55="","",INDEX(SPI!$B$1:$I$931,$A55+(3*$B$1+2)*AB$43+1,7))</f>
        <v>-3.9500000000000001E-4</v>
      </c>
      <c r="AC55" s="15">
        <f>IF($A55="","",INDEX(SPI!$B$1:$I$931,$A55+(3*$B$1+2)*AB$43+1,8))</f>
        <v>-5.1829999999999997E-5</v>
      </c>
      <c r="AD55" s="15">
        <f>IF($A55="","",INDEX(SPI!$B$1:$I$931,$A55+(3*$B$1+2)*AD$43+1,7))</f>
        <v>6.9369000000000006E-5</v>
      </c>
      <c r="AE55" s="15">
        <f>IF($A55="","",INDEX(SPI!$B$1:$I$931,$A55+(3*$B$1+2)*AD$43+1,8))</f>
        <v>-2.9E-4</v>
      </c>
      <c r="AF55" s="15">
        <f>IF($A55="","",INDEX(SPI!$B$1:$I$931,$A55+(3*$B$1+2)*AF$43+1,7))</f>
        <v>1.6982999999999999E-4</v>
      </c>
      <c r="AG55" s="15">
        <f>IF($A55="","",INDEX(SPI!$B$1:$I$931,$A55+(3*$B$1+2)*AF$43+1,8))</f>
        <v>1.5846999999999999E-4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0.21021000000000001</v>
      </c>
      <c r="E56" s="14">
        <f>IF($A56="","",INDEX(SPI!$B$1:$I$931,$A56+(3*$B$1+2)*D$43+1,8))</f>
        <v>1.2388999999999999</v>
      </c>
      <c r="F56" s="14">
        <f>IF($A56="","",INDEX(SPI!$B$1:$I$931,$A56+(3*$B$1+2)*F$43+1,7))</f>
        <v>2.9020999999999999</v>
      </c>
      <c r="G56" s="14">
        <f>IF($A56="","",INDEX(SPI!$B$1:$I$931,$A56+(3*$B$1+2)*F$43+1,8))</f>
        <v>-0.44330000000000003</v>
      </c>
      <c r="H56" s="14">
        <f>IF($A56="","",INDEX(SPI!$B$1:$I$931,$A56+(3*$B$1+2)*H$43+1,7))</f>
        <v>-6.7180000000000004E-2</v>
      </c>
      <c r="I56" s="14">
        <f>IF($A56="","",INDEX(SPI!$B$1:$I$931,$A56+(3*$B$1+2)*H$43+1,8))</f>
        <v>-0.61350000000000005</v>
      </c>
      <c r="J56" s="14">
        <f>IF($A56="","",INDEX(SPI!$B$1:$I$931,$A56+(3*$B$1+2)*J$43+1,7))</f>
        <v>2.8188999999999999E-2</v>
      </c>
      <c r="K56" s="14">
        <f>IF($A56="","",INDEX(SPI!$B$1:$I$931,$A56+(3*$B$1+2)*J$43+1,8))</f>
        <v>0.13073000000000001</v>
      </c>
      <c r="L56" s="14">
        <f>IF($A56="","",INDEX(SPI!$B$1:$I$931,$A56+(3*$B$1+2)*L$43+1,7))</f>
        <v>0.26617000000000002</v>
      </c>
      <c r="M56" s="14">
        <f>IF($A56="","",INDEX(SPI!$B$1:$I$931,$A56+(3*$B$1+2)*L$43+1,8))</f>
        <v>-5.6079999999999998E-2</v>
      </c>
      <c r="N56" s="14">
        <f>IF($A56="","",INDEX(SPI!$B$1:$I$931,$A56+(3*$B$1+2)*N$43+1,7))</f>
        <v>-1.1440000000000001E-2</v>
      </c>
      <c r="O56" s="14">
        <f>IF($A56="","",INDEX(SPI!$B$1:$I$931,$A56+(3*$B$1+2)*N$43+1,8))</f>
        <v>-6.2659999999999993E-2</v>
      </c>
      <c r="P56" s="14">
        <f>IF($A56="","",INDEX(SPI!$B$1:$I$931,$A56+(3*$B$1+2)*P$43+1,7))</f>
        <v>5.4077E-2</v>
      </c>
      <c r="Q56" s="14">
        <f>IF($A56="","",INDEX(SPI!$B$1:$I$931,$A56+(3*$B$1+2)*P$43+1,8))</f>
        <v>7.1068000000000006E-2</v>
      </c>
      <c r="R56" s="14">
        <f>IF($A56="","",INDEX(SPI!$B$1:$I$931,$A56+(3*$B$1+2)*R$43+1,7))</f>
        <v>6.8023E-2</v>
      </c>
      <c r="S56" s="14">
        <f>IF($A56="","",INDEX(SPI!$B$1:$I$931,$A56+(3*$B$1+2)*R$43+1,8))</f>
        <v>-4.6649999999999997E-2</v>
      </c>
      <c r="T56" s="14">
        <f>IF($A56="","",INDEX(SPI!$B$1:$I$931,$A56+(3*$B$1+2)*T$43+1,7))</f>
        <v>-6.2820000000000003E-3</v>
      </c>
      <c r="U56" s="14">
        <f>IF($A56="","",INDEX(SPI!$B$1:$I$931,$A56+(3*$B$1+2)*T$43+1,8))</f>
        <v>-1.8089999999999998E-2</v>
      </c>
      <c r="V56" s="14">
        <f>IF($A56="","",INDEX(SPI!$B$1:$I$931,$A56+(3*$B$1+2)*V$43+1,7))</f>
        <v>4.6441999999999997E-2</v>
      </c>
      <c r="W56" s="14">
        <f>IF($A56="","",INDEX(SPI!$B$1:$I$931,$A56+(3*$B$1+2)*V$43+1,8))</f>
        <v>1.3214E-2</v>
      </c>
      <c r="X56" s="14">
        <f>IF($A56="","",INDEX(SPI!$B$1:$I$931,$A56+(3*$B$1+2)*X$43+1,7))</f>
        <v>1.7365E-3</v>
      </c>
      <c r="Y56" s="14">
        <f>IF($A56="","",INDEX(SPI!$B$1:$I$931,$A56+(3*$B$1+2)*X$43+1,8))</f>
        <v>-4.8019999999999998E-3</v>
      </c>
      <c r="Z56" s="14">
        <f>IF($A56="","",INDEX(SPI!$B$1:$I$931,$A56+(3*$B$1+2)*Z$43+1,7))</f>
        <v>-3.0590000000000001E-3</v>
      </c>
      <c r="AA56" s="14">
        <f>IF($A56="","",INDEX(SPI!$B$1:$I$931,$A56+(3*$B$1+2)*Z$43+1,8))</f>
        <v>-4.3680000000000004E-3</v>
      </c>
      <c r="AB56" s="14">
        <f>IF($A56="","",INDEX(SPI!$B$1:$I$931,$A56+(3*$B$1+2)*AB$43+1,7))</f>
        <v>1.4435E-2</v>
      </c>
      <c r="AC56" s="14">
        <f>IF($A56="","",INDEX(SPI!$B$1:$I$931,$A56+(3*$B$1+2)*AB$43+1,8))</f>
        <v>1.8940999999999999E-3</v>
      </c>
      <c r="AD56" s="14">
        <f>IF($A56="","",INDEX(SPI!$B$1:$I$931,$A56+(3*$B$1+2)*AD$43+1,7))</f>
        <v>-2.6689999999999998E-4</v>
      </c>
      <c r="AE56" s="14">
        <f>IF($A56="","",INDEX(SPI!$B$1:$I$931,$A56+(3*$B$1+2)*AD$43+1,8))</f>
        <v>1.1159E-3</v>
      </c>
      <c r="AF56" s="14">
        <f>IF($A56="","",INDEX(SPI!$B$1:$I$931,$A56+(3*$B$1+2)*AF$43+1,7))</f>
        <v>-8.2720000000000005E-4</v>
      </c>
      <c r="AG56" s="14">
        <f>IF($A56="","",INDEX(SPI!$B$1:$I$931,$A56+(3*$B$1+2)*AF$43+1,8))</f>
        <v>-7.718E-4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0.10342999999999999</v>
      </c>
      <c r="E57" s="14">
        <f>IF($A57="","",INDEX(SPI!$B$1:$I$931,$A57+(3*$B$1+2)*D$43+1,8))</f>
        <v>0.60960999999999999</v>
      </c>
      <c r="F57" s="14">
        <f>IF($A57="","",INDEX(SPI!$B$1:$I$931,$A57+(3*$B$1+2)*F$43+1,7))</f>
        <v>-0.42899999999999999</v>
      </c>
      <c r="G57" s="14">
        <f>IF($A57="","",INDEX(SPI!$B$1:$I$931,$A57+(3*$B$1+2)*F$43+1,8))</f>
        <v>6.5532999999999994E-2</v>
      </c>
      <c r="H57" s="14">
        <f>IF($A57="","",INDEX(SPI!$B$1:$I$931,$A57+(3*$B$1+2)*H$43+1,7))</f>
        <v>0.19750000000000001</v>
      </c>
      <c r="I57" s="14">
        <f>IF($A57="","",INDEX(SPI!$B$1:$I$931,$A57+(3*$B$1+2)*H$43+1,8))</f>
        <v>1.8035000000000001</v>
      </c>
      <c r="J57" s="14">
        <f>IF($A57="","",INDEX(SPI!$B$1:$I$931,$A57+(3*$B$1+2)*J$43+1,7))</f>
        <v>1.7356E-2</v>
      </c>
      <c r="K57" s="14">
        <f>IF($A57="","",INDEX(SPI!$B$1:$I$931,$A57+(3*$B$1+2)*J$43+1,8))</f>
        <v>8.0490000000000006E-2</v>
      </c>
      <c r="L57" s="14">
        <f>IF($A57="","",INDEX(SPI!$B$1:$I$931,$A57+(3*$B$1+2)*L$43+1,7))</f>
        <v>-4.4220000000000002E-2</v>
      </c>
      <c r="M57" s="14">
        <f>IF($A57="","",INDEX(SPI!$B$1:$I$931,$A57+(3*$B$1+2)*L$43+1,8))</f>
        <v>9.3151999999999992E-3</v>
      </c>
      <c r="N57" s="14">
        <f>IF($A57="","",INDEX(SPI!$B$1:$I$931,$A57+(3*$B$1+2)*N$43+1,7))</f>
        <v>3.4036999999999998E-2</v>
      </c>
      <c r="O57" s="14">
        <f>IF($A57="","",INDEX(SPI!$B$1:$I$931,$A57+(3*$B$1+2)*N$43+1,8))</f>
        <v>0.18639</v>
      </c>
      <c r="P57" s="14">
        <f>IF($A57="","",INDEX(SPI!$B$1:$I$931,$A57+(3*$B$1+2)*P$43+1,7))</f>
        <v>1.9779999999999999E-2</v>
      </c>
      <c r="Q57" s="14">
        <f>IF($A57="","",INDEX(SPI!$B$1:$I$931,$A57+(3*$B$1+2)*P$43+1,8))</f>
        <v>2.5995000000000001E-2</v>
      </c>
      <c r="R57" s="14">
        <f>IF($A57="","",INDEX(SPI!$B$1:$I$931,$A57+(3*$B$1+2)*R$43+1,7))</f>
        <v>-3.5630000000000002E-2</v>
      </c>
      <c r="S57" s="14">
        <f>IF($A57="","",INDEX(SPI!$B$1:$I$931,$A57+(3*$B$1+2)*R$43+1,8))</f>
        <v>2.4434999999999998E-2</v>
      </c>
      <c r="T57" s="14">
        <f>IF($A57="","",INDEX(SPI!$B$1:$I$931,$A57+(3*$B$1+2)*T$43+1,7))</f>
        <v>1.8970999999999998E-2</v>
      </c>
      <c r="U57" s="14">
        <f>IF($A57="","",INDEX(SPI!$B$1:$I$931,$A57+(3*$B$1+2)*T$43+1,8))</f>
        <v>5.4642000000000003E-2</v>
      </c>
      <c r="V57" s="14">
        <f>IF($A57="","",INDEX(SPI!$B$1:$I$931,$A57+(3*$B$1+2)*V$43+1,7))</f>
        <v>-2.859E-3</v>
      </c>
      <c r="W57" s="14">
        <f>IF($A57="","",INDEX(SPI!$B$1:$I$931,$A57+(3*$B$1+2)*V$43+1,8))</f>
        <v>-8.1329999999999998E-4</v>
      </c>
      <c r="X57" s="14">
        <f>IF($A57="","",INDEX(SPI!$B$1:$I$931,$A57+(3*$B$1+2)*X$43+1,7))</f>
        <v>-8.2450000000000006E-3</v>
      </c>
      <c r="Y57" s="14">
        <f>IF($A57="","",INDEX(SPI!$B$1:$I$931,$A57+(3*$B$1+2)*X$43+1,8))</f>
        <v>2.2797000000000001E-2</v>
      </c>
      <c r="Z57" s="14">
        <f>IF($A57="","",INDEX(SPI!$B$1:$I$931,$A57+(3*$B$1+2)*Z$43+1,7))</f>
        <v>9.7283999999999999E-3</v>
      </c>
      <c r="AA57" s="14">
        <f>IF($A57="","",INDEX(SPI!$B$1:$I$931,$A57+(3*$B$1+2)*Z$43+1,8))</f>
        <v>1.3891000000000001E-2</v>
      </c>
      <c r="AB57" s="14">
        <f>IF($A57="","",INDEX(SPI!$B$1:$I$931,$A57+(3*$B$1+2)*AB$43+1,7))</f>
        <v>-6.43E-3</v>
      </c>
      <c r="AC57" s="14">
        <f>IF($A57="","",INDEX(SPI!$B$1:$I$931,$A57+(3*$B$1+2)*AB$43+1,8))</f>
        <v>-8.4369999999999996E-4</v>
      </c>
      <c r="AD57" s="14">
        <f>IF($A57="","",INDEX(SPI!$B$1:$I$931,$A57+(3*$B$1+2)*AD$43+1,7))</f>
        <v>-1.0089999999999999E-3</v>
      </c>
      <c r="AE57" s="14">
        <f>IF($A57="","",INDEX(SPI!$B$1:$I$931,$A57+(3*$B$1+2)*AD$43+1,8))</f>
        <v>4.2167000000000003E-3</v>
      </c>
      <c r="AF57" s="14">
        <f>IF($A57="","",INDEX(SPI!$B$1:$I$931,$A57+(3*$B$1+2)*AF$43+1,7))</f>
        <v>1.7547000000000001E-3</v>
      </c>
      <c r="AG57" s="14">
        <f>IF($A57="","",INDEX(SPI!$B$1:$I$931,$A57+(3*$B$1+2)*AF$43+1,8))</f>
        <v>1.6373E-3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2.4958999999999999E-2</v>
      </c>
      <c r="E58" s="15">
        <f>IF($A58="","",INDEX(SPI!$B$1:$I$931,$A58+(3*$B$1+2)*D$43+1,8))</f>
        <v>0.14710999999999999</v>
      </c>
      <c r="F58" s="15">
        <f>IF($A58="","",INDEX(SPI!$B$1:$I$931,$A58+(3*$B$1+2)*F$43+1,7))</f>
        <v>2.4114000000000001E-4</v>
      </c>
      <c r="G58" s="15">
        <f>IF($A58="","",INDEX(SPI!$B$1:$I$931,$A58+(3*$B$1+2)*F$43+1,8))</f>
        <v>-3.6829999999999998E-5</v>
      </c>
      <c r="H58" s="15">
        <f>IF($A58="","",INDEX(SPI!$B$1:$I$931,$A58+(3*$B$1+2)*H$43+1,7))</f>
        <v>-1.255E-2</v>
      </c>
      <c r="I58" s="15">
        <f>IF($A58="","",INDEX(SPI!$B$1:$I$931,$A58+(3*$B$1+2)*H$43+1,8))</f>
        <v>-0.11459999999999999</v>
      </c>
      <c r="J58" s="15">
        <f>IF($A58="","",INDEX(SPI!$B$1:$I$931,$A58+(3*$B$1+2)*J$43+1,7))</f>
        <v>2.9139999999999999E-3</v>
      </c>
      <c r="K58" s="15">
        <f>IF($A58="","",INDEX(SPI!$B$1:$I$931,$A58+(3*$B$1+2)*J$43+1,8))</f>
        <v>1.3514E-2</v>
      </c>
      <c r="L58" s="15">
        <f>IF($A58="","",INDEX(SPI!$B$1:$I$931,$A58+(3*$B$1+2)*L$43+1,7))</f>
        <v>-1.201E-3</v>
      </c>
      <c r="M58" s="15">
        <f>IF($A58="","",INDEX(SPI!$B$1:$I$931,$A58+(3*$B$1+2)*L$43+1,8))</f>
        <v>2.5297999999999998E-4</v>
      </c>
      <c r="N58" s="15">
        <f>IF($A58="","",INDEX(SPI!$B$1:$I$931,$A58+(3*$B$1+2)*N$43+1,7))</f>
        <v>-2.2300000000000002E-3</v>
      </c>
      <c r="O58" s="15">
        <f>IF($A58="","",INDEX(SPI!$B$1:$I$931,$A58+(3*$B$1+2)*N$43+1,8))</f>
        <v>-1.221E-2</v>
      </c>
      <c r="P58" s="15">
        <f>IF($A58="","",INDEX(SPI!$B$1:$I$931,$A58+(3*$B$1+2)*P$43+1,7))</f>
        <v>2.7745999999999999E-3</v>
      </c>
      <c r="Q58" s="15">
        <f>IF($A58="","",INDEX(SPI!$B$1:$I$931,$A58+(3*$B$1+2)*P$43+1,8))</f>
        <v>3.6462999999999999E-3</v>
      </c>
      <c r="R58" s="15">
        <f>IF($A58="","",INDEX(SPI!$B$1:$I$931,$A58+(3*$B$1+2)*R$43+1,7))</f>
        <v>-1.7489999999999999E-3</v>
      </c>
      <c r="S58" s="15">
        <f>IF($A58="","",INDEX(SPI!$B$1:$I$931,$A58+(3*$B$1+2)*R$43+1,8))</f>
        <v>1.1992999999999999E-3</v>
      </c>
      <c r="T58" s="15">
        <f>IF($A58="","",INDEX(SPI!$B$1:$I$931,$A58+(3*$B$1+2)*T$43+1,7))</f>
        <v>-1.3359999999999999E-3</v>
      </c>
      <c r="U58" s="15">
        <f>IF($A58="","",INDEX(SPI!$B$1:$I$931,$A58+(3*$B$1+2)*T$43+1,8))</f>
        <v>-3.849E-3</v>
      </c>
      <c r="V58" s="15">
        <f>IF($A58="","",INDEX(SPI!$B$1:$I$931,$A58+(3*$B$1+2)*V$43+1,7))</f>
        <v>1.3675E-3</v>
      </c>
      <c r="W58" s="15">
        <f>IF($A58="","",INDEX(SPI!$B$1:$I$931,$A58+(3*$B$1+2)*V$43+1,8))</f>
        <v>3.8907999999999998E-4</v>
      </c>
      <c r="X58" s="15">
        <f>IF($A58="","",INDEX(SPI!$B$1:$I$931,$A58+(3*$B$1+2)*X$43+1,7))</f>
        <v>-4.7639999999999998E-4</v>
      </c>
      <c r="Y58" s="15">
        <f>IF($A58="","",INDEX(SPI!$B$1:$I$931,$A58+(3*$B$1+2)*X$43+1,8))</f>
        <v>1.3171999999999999E-3</v>
      </c>
      <c r="Z58" s="15">
        <f>IF($A58="","",INDEX(SPI!$B$1:$I$931,$A58+(3*$B$1+2)*Z$43+1,7))</f>
        <v>-7.4689999999999999E-4</v>
      </c>
      <c r="AA58" s="15">
        <f>IF($A58="","",INDEX(SPI!$B$1:$I$931,$A58+(3*$B$1+2)*Z$43+1,8))</f>
        <v>-1.0660000000000001E-3</v>
      </c>
      <c r="AB58" s="15">
        <f>IF($A58="","",INDEX(SPI!$B$1:$I$931,$A58+(3*$B$1+2)*AB$43+1,7))</f>
        <v>7.7957999999999999E-4</v>
      </c>
      <c r="AC58" s="15">
        <f>IF($A58="","",INDEX(SPI!$B$1:$I$931,$A58+(3*$B$1+2)*AB$43+1,8))</f>
        <v>1.0229E-4</v>
      </c>
      <c r="AD58" s="15">
        <f>IF($A58="","",INDEX(SPI!$B$1:$I$931,$A58+(3*$B$1+2)*AD$43+1,7))</f>
        <v>-1.2679999999999999E-4</v>
      </c>
      <c r="AE58" s="15">
        <f>IF($A58="","",INDEX(SPI!$B$1:$I$931,$A58+(3*$B$1+2)*AD$43+1,8))</f>
        <v>5.2992000000000002E-4</v>
      </c>
      <c r="AF58" s="15">
        <f>IF($A58="","",INDEX(SPI!$B$1:$I$931,$A58+(3*$B$1+2)*AF$43+1,7))</f>
        <v>-1.5899999999999999E-4</v>
      </c>
      <c r="AG58" s="15">
        <f>IF($A58="","",INDEX(SPI!$B$1:$I$931,$A58+(3*$B$1+2)*AF$43+1,8))</f>
        <v>-1.484E-4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V129"/>
  <sheetViews>
    <sheetView workbookViewId="0">
      <selection activeCell="H23" sqref="H23"/>
    </sheetView>
  </sheetViews>
  <sheetFormatPr defaultColWidth="9.140625" defaultRowHeight="12.75"/>
  <cols>
    <col min="1" max="16384" width="9.140625" style="1"/>
  </cols>
  <sheetData>
    <row r="1" spans="1:14">
      <c r="A1" s="1" t="s">
        <v>21</v>
      </c>
      <c r="B1" s="1">
        <f>SPI!D2</f>
        <v>5</v>
      </c>
    </row>
    <row r="3" spans="1:14">
      <c r="A3" s="10" t="s">
        <v>25</v>
      </c>
      <c r="D3" s="6" t="s">
        <v>31</v>
      </c>
      <c r="E3" s="1">
        <f>Modi!B54</f>
        <v>6</v>
      </c>
    </row>
    <row r="4" spans="1:14">
      <c r="D4" s="1">
        <v>1</v>
      </c>
    </row>
    <row r="5" spans="1:14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>
      <c r="A8" s="6" t="s">
        <v>27</v>
      </c>
      <c r="B8" s="3">
        <f>Modi!B58</f>
        <v>0</v>
      </c>
      <c r="C8" s="3">
        <f>B10</f>
        <v>22.8</v>
      </c>
      <c r="D8" s="3">
        <f t="shared" ref="D8:M8" si="1">C10</f>
        <v>22.8</v>
      </c>
      <c r="E8" s="3">
        <f t="shared" si="1"/>
        <v>8.8000000000000007</v>
      </c>
      <c r="F8" s="3">
        <f t="shared" si="1"/>
        <v>8.8000000000000007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>
      <c r="A9" s="6" t="s">
        <v>28</v>
      </c>
      <c r="B9" s="3">
        <f>Modi!B59</f>
        <v>0</v>
      </c>
      <c r="C9" s="3">
        <f>B11</f>
        <v>0</v>
      </c>
      <c r="D9" s="3">
        <f t="shared" ref="D9:M9" si="2">C11</f>
        <v>8.9</v>
      </c>
      <c r="E9" s="3">
        <f t="shared" si="2"/>
        <v>8.9</v>
      </c>
      <c r="F9" s="3">
        <f t="shared" si="2"/>
        <v>16</v>
      </c>
      <c r="G9" s="3">
        <f t="shared" si="2"/>
        <v>16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>
      <c r="A10" s="6" t="s">
        <v>29</v>
      </c>
      <c r="B10" s="3">
        <f>Modi!C58</f>
        <v>22.8</v>
      </c>
      <c r="C10" s="3">
        <f>Modi!D58</f>
        <v>22.8</v>
      </c>
      <c r="D10" s="3">
        <f>Modi!E58</f>
        <v>8.8000000000000007</v>
      </c>
      <c r="E10" s="3">
        <f>Modi!F58</f>
        <v>8.8000000000000007</v>
      </c>
      <c r="F10" s="3">
        <f>Modi!G58</f>
        <v>0</v>
      </c>
      <c r="G10" s="3">
        <f>Modi!H58</f>
        <v>0</v>
      </c>
      <c r="H10" s="3">
        <f>Modi!I58</f>
        <v>0</v>
      </c>
      <c r="I10" s="3">
        <f>Modi!J58</f>
        <v>0</v>
      </c>
      <c r="J10" s="3">
        <f>Modi!K58</f>
        <v>0</v>
      </c>
      <c r="K10" s="3">
        <f>Modi!L58</f>
        <v>0</v>
      </c>
      <c r="L10" s="3">
        <f>Modi!M58</f>
        <v>0</v>
      </c>
      <c r="M10" s="3">
        <f>Modi!N8</f>
        <v>0</v>
      </c>
    </row>
    <row r="11" spans="1:14">
      <c r="A11" s="6" t="s">
        <v>30</v>
      </c>
      <c r="B11" s="3">
        <f>Modi!C59</f>
        <v>0</v>
      </c>
      <c r="C11" s="3">
        <f>Modi!D59</f>
        <v>8.9</v>
      </c>
      <c r="D11" s="3">
        <f>Modi!E59</f>
        <v>8.9</v>
      </c>
      <c r="E11" s="3">
        <f>Modi!F59</f>
        <v>16</v>
      </c>
      <c r="F11" s="3">
        <f>Modi!G59</f>
        <v>16</v>
      </c>
      <c r="G11" s="3">
        <f>Modi!H59</f>
        <v>0</v>
      </c>
      <c r="H11" s="3">
        <f>Modi!I59</f>
        <v>0</v>
      </c>
      <c r="I11" s="3">
        <f>Modi!J59</f>
        <v>0</v>
      </c>
      <c r="J11" s="3">
        <f>Modi!K59</f>
        <v>0</v>
      </c>
      <c r="K11" s="3">
        <f>Modi!L59</f>
        <v>0</v>
      </c>
      <c r="L11" s="3">
        <f>Modi!M59</f>
        <v>0</v>
      </c>
      <c r="M11" s="3">
        <f>Modi!N9</f>
        <v>0</v>
      </c>
    </row>
    <row r="12" spans="1:14">
      <c r="A12" s="6" t="s">
        <v>35</v>
      </c>
      <c r="B12" s="3">
        <f>(B8+B10)/3</f>
        <v>7.6000000000000005</v>
      </c>
      <c r="C12" s="3">
        <f t="shared" ref="C12:M12" si="3">(C8+C10)/3</f>
        <v>15.200000000000001</v>
      </c>
      <c r="D12" s="3">
        <f t="shared" si="3"/>
        <v>10.533333333333333</v>
      </c>
      <c r="E12" s="3">
        <f t="shared" si="3"/>
        <v>5.8666666666666671</v>
      </c>
      <c r="F12" s="3">
        <f t="shared" si="3"/>
        <v>2.9333333333333336</v>
      </c>
      <c r="G12" s="3">
        <f t="shared" si="3"/>
        <v>0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>
      <c r="A13" s="6" t="s">
        <v>36</v>
      </c>
      <c r="B13" s="3">
        <f>(B9+B11)/3</f>
        <v>0</v>
      </c>
      <c r="C13" s="3">
        <f t="shared" ref="C13:M13" si="4">(C9+C11)/3</f>
        <v>2.9666666666666668</v>
      </c>
      <c r="D13" s="3">
        <f t="shared" si="4"/>
        <v>5.9333333333333336</v>
      </c>
      <c r="E13" s="3">
        <f t="shared" si="4"/>
        <v>8.2999999999999989</v>
      </c>
      <c r="F13" s="3">
        <f t="shared" si="4"/>
        <v>10.666666666666666</v>
      </c>
      <c r="G13" s="3">
        <f t="shared" si="4"/>
        <v>5.333333333333333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>
      <c r="A14" s="6" t="s">
        <v>37</v>
      </c>
      <c r="B14" s="9">
        <f>(B8*B11-B9*B10)/2</f>
        <v>0</v>
      </c>
      <c r="C14" s="9">
        <f t="shared" ref="C14:M14" si="5">(C8*C11-C9*C10)/2</f>
        <v>101.46000000000001</v>
      </c>
      <c r="D14" s="9">
        <f t="shared" si="5"/>
        <v>62.300000000000004</v>
      </c>
      <c r="E14" s="9">
        <f t="shared" si="5"/>
        <v>31.240000000000002</v>
      </c>
      <c r="F14" s="9">
        <f t="shared" si="5"/>
        <v>70.400000000000006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265.40000000000003</v>
      </c>
    </row>
    <row r="15" spans="1:14">
      <c r="A15" s="6" t="s">
        <v>38</v>
      </c>
      <c r="B15" s="11">
        <f>B14*B12</f>
        <v>0</v>
      </c>
      <c r="C15" s="11">
        <f t="shared" ref="C15:M15" si="6">C14*C12</f>
        <v>1542.1920000000002</v>
      </c>
      <c r="D15" s="11">
        <f t="shared" si="6"/>
        <v>656.22666666666669</v>
      </c>
      <c r="E15" s="11">
        <f t="shared" si="6"/>
        <v>183.27466666666669</v>
      </c>
      <c r="F15" s="11">
        <f t="shared" si="6"/>
        <v>206.50666666666669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2588.2000000000003</v>
      </c>
    </row>
    <row r="16" spans="1:14">
      <c r="A16" s="6" t="s">
        <v>39</v>
      </c>
      <c r="B16" s="11">
        <f>B14*B13</f>
        <v>0</v>
      </c>
      <c r="C16" s="11">
        <f t="shared" ref="C16:M16" si="7">C14*C13</f>
        <v>300.99800000000005</v>
      </c>
      <c r="D16" s="11">
        <f t="shared" si="7"/>
        <v>369.6466666666667</v>
      </c>
      <c r="E16" s="11">
        <f t="shared" si="7"/>
        <v>259.29199999999997</v>
      </c>
      <c r="F16" s="11">
        <f t="shared" si="7"/>
        <v>750.93333333333339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1680.8700000000001</v>
      </c>
    </row>
    <row r="18" spans="1:22">
      <c r="A18" s="6" t="s">
        <v>12</v>
      </c>
      <c r="B18" s="3">
        <f>N15/N14</f>
        <v>9.7520723436322534</v>
      </c>
      <c r="E18" s="7" t="s">
        <v>61</v>
      </c>
      <c r="H18" s="6" t="s">
        <v>60</v>
      </c>
      <c r="I18" s="3">
        <f>B18-F19</f>
        <v>9.0680723436322541</v>
      </c>
      <c r="J18" s="3">
        <f>B18+F19</f>
        <v>10.436072343632253</v>
      </c>
      <c r="L18" s="3">
        <f>B18</f>
        <v>9.7520723436322534</v>
      </c>
      <c r="M18" s="3">
        <f>B18</f>
        <v>9.7520723436322534</v>
      </c>
    </row>
    <row r="19" spans="1:22">
      <c r="A19" s="6" t="s">
        <v>13</v>
      </c>
      <c r="B19" s="3">
        <f>N16/N14</f>
        <v>6.3333458929917104</v>
      </c>
      <c r="E19" s="54">
        <f>Dati!E9</f>
        <v>0.03</v>
      </c>
      <c r="F19" s="1">
        <f>E19*MAX(B24:B25)</f>
        <v>0.68399999999999994</v>
      </c>
      <c r="I19" s="3">
        <f>B19</f>
        <v>6.3333458929917104</v>
      </c>
      <c r="J19" s="3">
        <f>B19</f>
        <v>6.3333458929917104</v>
      </c>
      <c r="L19" s="3">
        <f>B19-F19</f>
        <v>5.6493458929917102</v>
      </c>
      <c r="M19" s="3">
        <f>B19+F19</f>
        <v>7.0173458929917105</v>
      </c>
      <c r="O19" s="1">
        <f>ATAN2(9.75,6.33)</f>
        <v>0.57583427073591065</v>
      </c>
    </row>
    <row r="21" spans="1:22">
      <c r="A21" s="10" t="s">
        <v>58</v>
      </c>
    </row>
    <row r="22" spans="1:22">
      <c r="A22" s="6" t="s">
        <v>47</v>
      </c>
      <c r="B22" s="18">
        <f>MIN(Modi!B58:M58)</f>
        <v>0</v>
      </c>
      <c r="C22" s="6" t="s">
        <v>48</v>
      </c>
      <c r="D22" s="3">
        <f>MAX(Modi!B58:M58)</f>
        <v>22.8</v>
      </c>
      <c r="G22" s="7" t="s">
        <v>40</v>
      </c>
    </row>
    <row r="23" spans="1:22">
      <c r="A23" s="6" t="s">
        <v>50</v>
      </c>
      <c r="B23" s="18">
        <f>MIN(Modi!B59:M59)</f>
        <v>0</v>
      </c>
      <c r="C23" s="6" t="s">
        <v>51</v>
      </c>
      <c r="D23" s="3">
        <f>MAX(Modi!B59:M59)</f>
        <v>16</v>
      </c>
      <c r="H23" s="20">
        <f>Modi!B57</f>
        <v>1</v>
      </c>
      <c r="I23" s="20">
        <f>Modi!C57</f>
        <v>2</v>
      </c>
      <c r="J23" s="20">
        <f>Modi!D57</f>
        <v>3</v>
      </c>
      <c r="K23" s="20">
        <f>Modi!E57</f>
        <v>4</v>
      </c>
      <c r="L23" s="20">
        <f>Modi!F57</f>
        <v>5</v>
      </c>
      <c r="M23" s="20">
        <f>Modi!G57</f>
        <v>6</v>
      </c>
      <c r="N23" s="20" t="str">
        <f>Modi!H57</f>
        <v/>
      </c>
      <c r="O23" s="20" t="str">
        <f>Modi!I57</f>
        <v/>
      </c>
      <c r="P23" s="20" t="str">
        <f>Modi!J57</f>
        <v/>
      </c>
      <c r="Q23" s="20" t="str">
        <f>Modi!K57</f>
        <v/>
      </c>
      <c r="R23" s="20" t="str">
        <f>Modi!L57</f>
        <v/>
      </c>
      <c r="S23" s="20" t="str">
        <f>Modi!M57</f>
        <v/>
      </c>
    </row>
    <row r="24" spans="1:22">
      <c r="A24" s="6" t="s">
        <v>49</v>
      </c>
      <c r="B24" s="3">
        <f>D22-B22</f>
        <v>22.8</v>
      </c>
      <c r="C24" s="6" t="s">
        <v>53</v>
      </c>
      <c r="D24" s="2">
        <f>V26/B24</f>
        <v>0.33959258813681836</v>
      </c>
      <c r="E24" s="6" t="s">
        <v>55</v>
      </c>
      <c r="G24" s="5" t="s">
        <v>14</v>
      </c>
      <c r="H24" s="21">
        <f>Modi!B58-$B$18</f>
        <v>-9.7520723436322534</v>
      </c>
      <c r="I24" s="21">
        <f>Modi!C58-$B$18</f>
        <v>13.047927656367747</v>
      </c>
      <c r="J24" s="21">
        <f>Modi!D58-$B$18</f>
        <v>13.047927656367747</v>
      </c>
      <c r="K24" s="21">
        <f>IF(K23&lt;=$E$3,Modi!E58-$B$18,"")</f>
        <v>-0.95207234363225268</v>
      </c>
      <c r="L24" s="21">
        <f>IF(L23&lt;=$E$3,Modi!F58-$B$18,"")</f>
        <v>-0.95207234363225268</v>
      </c>
      <c r="M24" s="21">
        <f>IF(M23&lt;=$E$3,Modi!G58-$B$18,"")</f>
        <v>-9.7520723436322534</v>
      </c>
      <c r="N24" s="21" t="str">
        <f>IF(N23&lt;=$E$3,Modi!H58-$B$18,"")</f>
        <v/>
      </c>
      <c r="O24" s="21" t="str">
        <f>IF(O23&lt;=$E$3,Modi!I58-$B$18,"")</f>
        <v/>
      </c>
      <c r="P24" s="21" t="str">
        <f>IF(P23&lt;=$E$3,Modi!J58-$B$18,"")</f>
        <v/>
      </c>
      <c r="Q24" s="21" t="str">
        <f>IF(Q23&lt;=$E$3,Modi!K58-$B$18,"")</f>
        <v/>
      </c>
      <c r="R24" s="21" t="str">
        <f>IF(R23&lt;=$E$3,Modi!L58-$B$18,"")</f>
        <v/>
      </c>
      <c r="S24" s="21" t="str">
        <f>IF(S23&lt;=$E$3,Modi!M58-$B$18,"")</f>
        <v/>
      </c>
    </row>
    <row r="25" spans="1:22">
      <c r="A25" s="6" t="s">
        <v>52</v>
      </c>
      <c r="B25" s="3">
        <f>D23-B23</f>
        <v>16</v>
      </c>
      <c r="C25" s="6" t="s">
        <v>54</v>
      </c>
      <c r="D25" s="2">
        <f>V27/B25</f>
        <v>1.2185933048351894</v>
      </c>
      <c r="E25" s="2">
        <f>MAX(V26:V27)/MAX(B24:B25)</f>
        <v>0.85515319637557141</v>
      </c>
      <c r="G25" s="5" t="s">
        <v>15</v>
      </c>
      <c r="H25" s="21">
        <f>Modi!B59-$B$19</f>
        <v>-6.3333458929917104</v>
      </c>
      <c r="I25" s="21">
        <f>Modi!C59-$B$19</f>
        <v>-6.3333458929917104</v>
      </c>
      <c r="J25" s="21">
        <f>Modi!D59-$B$19</f>
        <v>2.56665410700829</v>
      </c>
      <c r="K25" s="21">
        <f>IF(K23&lt;=$E$3,Modi!E59-$B$19,"")</f>
        <v>2.56665410700829</v>
      </c>
      <c r="L25" s="21">
        <f>IF(L23&lt;=$E$3,Modi!F59-$B$19,"")</f>
        <v>9.6666541070082896</v>
      </c>
      <c r="M25" s="21">
        <f>IF(M23&lt;=$E$3,Modi!G59-$B$19,"")</f>
        <v>9.6666541070082896</v>
      </c>
      <c r="N25" s="21" t="str">
        <f>IF(N23&lt;=$E$3,Modi!H59-$B$19,"")</f>
        <v/>
      </c>
      <c r="O25" s="21" t="str">
        <f>IF(O23&lt;=$E$3,Modi!I59-$B$19,"")</f>
        <v/>
      </c>
      <c r="P25" s="21" t="str">
        <f>IF(P23&lt;=$E$3,Modi!J59-$B$19,"")</f>
        <v/>
      </c>
      <c r="Q25" s="21" t="str">
        <f>IF(Q23&lt;=$E$3,Modi!K59-$B$19,"")</f>
        <v/>
      </c>
      <c r="R25" s="21" t="str">
        <f>IF(R23&lt;=$E$3,Modi!L59-$B$19,"")</f>
        <v/>
      </c>
      <c r="S25" s="21" t="str">
        <f>IF(S23&lt;=$E$3,Modi!M59-$B$19,"")</f>
        <v/>
      </c>
      <c r="T25" s="6"/>
      <c r="U25" s="6"/>
      <c r="V25" s="6" t="s">
        <v>46</v>
      </c>
    </row>
    <row r="26" spans="1:22">
      <c r="G26" s="1" t="s">
        <v>17</v>
      </c>
      <c r="H26" s="21">
        <f>SQRT(H24^2+H25^2)</f>
        <v>11.628163448959258</v>
      </c>
      <c r="I26" s="21">
        <f>SQRT(I24^2+I25^2)</f>
        <v>14.503781793935032</v>
      </c>
      <c r="J26" s="21">
        <f>SQRT(J24^2+J25^2)</f>
        <v>13.297974636418466</v>
      </c>
      <c r="K26" s="21">
        <f>IF(K23&lt;=$E$3,SQRT(K24^2+K25^2),"")</f>
        <v>2.7375454430076469</v>
      </c>
      <c r="L26" s="21">
        <f t="shared" ref="L26:R26" si="8">IF(L23&lt;=$E$3,SQRT(L24^2+L25^2),"")</f>
        <v>9.7134259338324931</v>
      </c>
      <c r="M26" s="21">
        <f t="shared" si="8"/>
        <v>13.731245996630362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7.7427110095194589</v>
      </c>
    </row>
    <row r="27" spans="1:22">
      <c r="G27" s="5" t="s">
        <v>16</v>
      </c>
      <c r="H27" s="22">
        <f>ATAN2(H24,H25)</f>
        <v>-2.5656140895971973</v>
      </c>
      <c r="I27" s="22">
        <f>ATAN2(I24,I25)</f>
        <v>-0.45189220661286056</v>
      </c>
      <c r="J27" s="22">
        <f>ATAN2(J24,J25)</f>
        <v>0.19422982999389635</v>
      </c>
      <c r="K27" s="22">
        <f>IF(K23&lt;=$E$3,ATAN2(K24,K25),"")</f>
        <v>1.9260020043390853</v>
      </c>
      <c r="L27" s="22">
        <f t="shared" ref="L27:R27" si="9">IF(L23&lt;=$E$3,ATAN2(L24,L25),"")</f>
        <v>1.66897007419699</v>
      </c>
      <c r="M27" s="22">
        <f t="shared" si="9"/>
        <v>2.3605932176746447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19.49749287736303</v>
      </c>
    </row>
    <row r="28" spans="1:22">
      <c r="C28" s="6" t="s">
        <v>3</v>
      </c>
      <c r="E28" s="6" t="s">
        <v>9</v>
      </c>
      <c r="F28" s="1">
        <v>1</v>
      </c>
    </row>
    <row r="29" spans="1:22">
      <c r="A29" s="1" t="s">
        <v>4</v>
      </c>
      <c r="C29" s="1">
        <f>Modi!B2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>
      <c r="A30" s="1">
        <f>'Elab-Modi'!A6</f>
        <v>5</v>
      </c>
      <c r="B30" s="4" t="s">
        <v>0</v>
      </c>
      <c r="C30" s="14">
        <f>HLOOKUP(Elab!$C$29,'Elab-Modi'!$C$5:$AF$35,2)</f>
        <v>5.7009999999999996</v>
      </c>
      <c r="D30" s="14"/>
      <c r="E30" s="14"/>
      <c r="F30" s="14"/>
      <c r="G30" s="1" t="str">
        <f>IF(C30="","","Vx")</f>
        <v>Vx</v>
      </c>
      <c r="H30" s="2">
        <f>IF(OR(H$23="",$C30=""),"",H$26*COS(H$27+$F31)+$D31-H$24)</f>
        <v>7.7427110095194589</v>
      </c>
      <c r="I30" s="2">
        <f t="shared" ref="I30:S30" si="10">IF(OR(I$23="",$C30=""),"",I$26*COS(I$27+$F31)+$D31-I$24)</f>
        <v>2.0677854760818004</v>
      </c>
      <c r="J30" s="2">
        <f t="shared" si="10"/>
        <v>-3.8078941896207752</v>
      </c>
      <c r="K30" s="2">
        <f t="shared" si="10"/>
        <v>-0.32329079189589827</v>
      </c>
      <c r="L30" s="2">
        <f t="shared" si="10"/>
        <v>-5.0106307499282874</v>
      </c>
      <c r="M30" s="2">
        <f t="shared" si="10"/>
        <v>-2.8203086142155112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-5.0106307499282874</v>
      </c>
      <c r="U30" s="2">
        <f>MAX(H30:S30)</f>
        <v>7.7427110095194589</v>
      </c>
      <c r="V30" s="2">
        <f>MAX(-T30,U30)</f>
        <v>7.7427110095194589</v>
      </c>
    </row>
    <row r="31" spans="1:22">
      <c r="B31" s="4" t="s">
        <v>1</v>
      </c>
      <c r="C31" s="14">
        <f>HLOOKUP(Elab!$C$29,'Elab-Modi'!$C$5:$AF$35,3)</f>
        <v>2.2751000000000001</v>
      </c>
      <c r="D31" s="14">
        <f>(C30-C32*$B$19)*$F$28</f>
        <v>1.1342142769404671</v>
      </c>
      <c r="E31" s="14">
        <f>(C31+C32*$B$18)*$F$28</f>
        <v>9.3070268048229092</v>
      </c>
      <c r="F31" s="14">
        <f>C32*$F$28</f>
        <v>0.72106999999999999</v>
      </c>
      <c r="G31" s="1" t="str">
        <f>IF(C30="","","Vy")</f>
        <v>Vy</v>
      </c>
      <c r="H31" s="2">
        <f>IF(OR(H$23="",$C30=""),"",H$26*SIN(H$27+$F31)+$E31-H$25)</f>
        <v>4.4451899135406983</v>
      </c>
      <c r="I31" s="2">
        <f t="shared" ref="I31:S31" si="11">IF(OR(I$23="",$C30=""),"",I$26*SIN(I$27+$F31)+$E31-I$25)</f>
        <v>19.49749287736303</v>
      </c>
      <c r="J31" s="2">
        <f t="shared" si="11"/>
        <v>17.282280717380786</v>
      </c>
      <c r="K31" s="2">
        <f t="shared" si="11"/>
        <v>8.0396385466126912</v>
      </c>
      <c r="L31" s="2">
        <f t="shared" si="11"/>
        <v>6.2724468234807897</v>
      </c>
      <c r="M31" s="2">
        <f t="shared" si="11"/>
        <v>0.46278603042655675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0.46278603042655675</v>
      </c>
      <c r="U31" s="2">
        <f>MAX(H31:S31)</f>
        <v>19.49749287736303</v>
      </c>
      <c r="V31" s="2">
        <f>MAX(-T31,U31)</f>
        <v>19.49749287736303</v>
      </c>
    </row>
    <row r="32" spans="1:22">
      <c r="A32" s="13"/>
      <c r="B32" s="13" t="s">
        <v>2</v>
      </c>
      <c r="C32" s="15">
        <f>HLOOKUP(Elab!$C$29,'Elab-Modi'!$C$5:$AF$35,4)</f>
        <v>0.72106999999999999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5.0602999999999998</v>
      </c>
      <c r="D33" s="2"/>
      <c r="E33" s="2"/>
      <c r="F33" s="2"/>
      <c r="G33" s="1" t="str">
        <f>IF(C33="","","Vx")</f>
        <v>Vx</v>
      </c>
      <c r="H33" s="2">
        <f>IF(OR(H$23="",$C33=""),"",H$26*COS(H$27+$F34)+$D34-H$24)</f>
        <v>6.6950137859176992</v>
      </c>
      <c r="I33" s="2">
        <f t="shared" ref="I33:S33" si="12">IF(OR(I$23="",$C33=""),"",I$26*COS(I$27+$F34)+$D34-I$24)</f>
        <v>2.254704973646426</v>
      </c>
      <c r="J33" s="2">
        <f t="shared" si="12"/>
        <v>-3.022425125155376</v>
      </c>
      <c r="K33" s="2">
        <f t="shared" si="12"/>
        <v>-0.29591971411161166</v>
      </c>
      <c r="L33" s="2">
        <f t="shared" si="12"/>
        <v>-4.5057650738299033</v>
      </c>
      <c r="M33" s="2">
        <f t="shared" si="12"/>
        <v>-2.7919616726023939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-4.5057650738299033</v>
      </c>
      <c r="U33" s="2">
        <f>MAX(H33:S33)</f>
        <v>6.6950137859176992</v>
      </c>
      <c r="V33" s="2">
        <f>MAX(-T33,U33)</f>
        <v>6.6950137859176992</v>
      </c>
    </row>
    <row r="34" spans="1:2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2.056</v>
      </c>
      <c r="D34" s="14">
        <f>IF(C33="","",(C33-C35*$B$19)*$F$28)</f>
        <v>1.0405253617181609</v>
      </c>
      <c r="E34" s="14">
        <f>IF(C33="","",(C34+C35*$B$18)*$F$28)</f>
        <v>8.2456403165033905</v>
      </c>
      <c r="F34" s="14">
        <f>IF(C33="","",C35*$F$28)</f>
        <v>0.63470000000000004</v>
      </c>
      <c r="G34" s="1" t="str">
        <f>IF(C33="","","Vy")</f>
        <v>Vy</v>
      </c>
      <c r="H34" s="2">
        <f>IF(OR(H$23="",$C33=""),"",H$26*SIN(H$27+$F34)+$E34-H$25)</f>
        <v>3.6967074399120268</v>
      </c>
      <c r="I34" s="2">
        <f t="shared" ref="I34:S34" si="13">IF(OR(I$23="",$C33=""),"",I$26*SIN(I$27+$F34)+$E34-I$25)</f>
        <v>17.21564746830316</v>
      </c>
      <c r="J34" s="2">
        <f t="shared" si="13"/>
        <v>15.482369028425339</v>
      </c>
      <c r="K34" s="2">
        <f t="shared" si="13"/>
        <v>7.1812655022202598</v>
      </c>
      <c r="L34" s="2">
        <f t="shared" si="13"/>
        <v>5.7985377580480648</v>
      </c>
      <c r="M34" s="2">
        <f t="shared" si="13"/>
        <v>0.58070125586201549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0.58070125586201549</v>
      </c>
      <c r="U34" s="2">
        <f>MAX(H34:S34)</f>
        <v>17.21564746830316</v>
      </c>
      <c r="V34" s="2">
        <f>MAX(-T34,U34)</f>
        <v>17.21564746830316</v>
      </c>
    </row>
    <row r="35" spans="1:2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0.63470000000000004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4.0674000000000001</v>
      </c>
      <c r="D36" s="2"/>
      <c r="E36" s="2"/>
      <c r="F36" s="2"/>
      <c r="G36" s="1" t="str">
        <f>IF(C36="","","Vx")</f>
        <v>Vx</v>
      </c>
      <c r="H36" s="2">
        <f>IF(OR(H$23="",$C36=""),"",H$26*COS(H$27+$F37)+$D37-H$24)</f>
        <v>5.1515090959205736</v>
      </c>
      <c r="I36" s="2">
        <f t="shared" ref="I36:S36" si="14">IF(OR(I$23="",$C36=""),"",I$26*COS(I$27+$F37)+$D37-I$24)</f>
        <v>2.3026184279195832</v>
      </c>
      <c r="J36" s="2">
        <f t="shared" si="14"/>
        <v>-2.0052927991357166</v>
      </c>
      <c r="K36" s="2">
        <f t="shared" si="14"/>
        <v>-0.25597396790703586</v>
      </c>
      <c r="L36" s="2">
        <f t="shared" si="14"/>
        <v>-3.6926222501646322</v>
      </c>
      <c r="M36" s="2">
        <f t="shared" si="14"/>
        <v>-2.5930504133923229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-3.6926222501646322</v>
      </c>
      <c r="U36" s="2">
        <f>MAX(H36:S36)</f>
        <v>5.1515090959205736</v>
      </c>
      <c r="V36" s="2">
        <f>MAX(-T36,U36)</f>
        <v>5.1515090959205736</v>
      </c>
    </row>
    <row r="37" spans="1:2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1.6943999999999999</v>
      </c>
      <c r="D37" s="14">
        <f>IF(C36="","",(C36-C38*$B$19)*$F$28)</f>
        <v>0.8674136541070081</v>
      </c>
      <c r="E37" s="14">
        <f>IF(C36="","",(C37+C38*$B$18)*$F$28)</f>
        <v>6.621732072343633</v>
      </c>
      <c r="F37" s="14">
        <f>IF(C36="","",C38*$F$28)</f>
        <v>0.50526000000000004</v>
      </c>
      <c r="G37" s="1" t="str">
        <f>IF(C36="","","Vy")</f>
        <v>Vy</v>
      </c>
      <c r="H37" s="2">
        <f>IF(OR(H$23="",$C36=""),"",H$26*SIN(H$27+$F37)+$E37-H$25)</f>
        <v>2.692748122804975</v>
      </c>
      <c r="I37" s="2">
        <f t="shared" ref="I37:S37" si="15">IF(OR(I$23="",$C36=""),"",I$26*SIN(I$27+$F37)+$E37-I$25)</f>
        <v>13.728745423575852</v>
      </c>
      <c r="J37" s="2">
        <f t="shared" si="15"/>
        <v>12.616678452294764</v>
      </c>
      <c r="K37" s="2">
        <f t="shared" si="15"/>
        <v>5.8401888816459806</v>
      </c>
      <c r="L37" s="2">
        <f t="shared" si="15"/>
        <v>4.9530343315228667</v>
      </c>
      <c r="M37" s="2">
        <f t="shared" si="15"/>
        <v>0.69352660140077127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0.69352660140077127</v>
      </c>
      <c r="U37" s="2">
        <f>MAX(H37:S37)</f>
        <v>13.728745423575852</v>
      </c>
      <c r="V37" s="2">
        <f>MAX(-T37,U37)</f>
        <v>13.728745423575852</v>
      </c>
    </row>
    <row r="38" spans="1:2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0.50526000000000004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2.7399</v>
      </c>
      <c r="D39" s="2"/>
      <c r="E39" s="2"/>
      <c r="F39" s="2"/>
      <c r="G39" s="1" t="str">
        <f>IF(C39="","","Vx")</f>
        <v>Vx</v>
      </c>
      <c r="H39" s="2">
        <f>IF(OR(H$23="",$C39=""),"",H$26*COS(H$27+$F40)+$D40-H$24)</f>
        <v>3.2434663603614666</v>
      </c>
      <c r="I39" s="2">
        <f t="shared" ref="I39:S39" si="16">IF(OR(I$23="",$C39=""),"",I$26*COS(I$27+$F40)+$D40-I$24)</f>
        <v>1.9736216176964554</v>
      </c>
      <c r="J39" s="2">
        <f t="shared" si="16"/>
        <v>-0.95511352488367862</v>
      </c>
      <c r="K39" s="2">
        <f t="shared" si="16"/>
        <v>-0.17538429693147695</v>
      </c>
      <c r="L39" s="2">
        <f t="shared" si="16"/>
        <v>-2.5117909837088863</v>
      </c>
      <c r="M39" s="2">
        <f t="shared" si="16"/>
        <v>-2.0216754689960759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-2.5117909837088863</v>
      </c>
      <c r="U39" s="2">
        <f>MAX(H39:S39)</f>
        <v>3.2434663603614666</v>
      </c>
      <c r="V39" s="2">
        <f>MAX(-T39,U39)</f>
        <v>3.2434663603614666</v>
      </c>
    </row>
    <row r="40" spans="1:2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1.2008000000000001</v>
      </c>
      <c r="D40" s="14">
        <f>IF(C39="","",(C39-C41*$B$19)*$F$28)</f>
        <v>0.61620245516201955</v>
      </c>
      <c r="E40" s="14">
        <f>IF(C39="","",(C40+C41*$B$18)*$F$28)</f>
        <v>4.4708648982667674</v>
      </c>
      <c r="F40" s="14">
        <f>IF(C39="","",C41*$F$28)</f>
        <v>0.33532000000000001</v>
      </c>
      <c r="G40" s="1" t="str">
        <f>IF(C39="","","Vy")</f>
        <v>Vy</v>
      </c>
      <c r="H40" s="2">
        <f>IF(OR(H$23="",$C39=""),"",H$26*SIN(H$27+$F40)+$E40-H$25)</f>
        <v>1.6144724973053384</v>
      </c>
      <c r="I40" s="2">
        <f t="shared" ref="I40:S40" si="17">IF(OR(I$23="",$C39=""),"",I$26*SIN(I$27+$F40)+$E40-I$25)</f>
        <v>9.1172996041398395</v>
      </c>
      <c r="J40" s="2">
        <f t="shared" si="17"/>
        <v>8.6216145949416543</v>
      </c>
      <c r="K40" s="2">
        <f t="shared" si="17"/>
        <v>4.014615494253805</v>
      </c>
      <c r="L40" s="2">
        <f t="shared" si="17"/>
        <v>3.6191813857923325</v>
      </c>
      <c r="M40" s="2">
        <f t="shared" si="17"/>
        <v>0.72335337964568502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0.72335337964568502</v>
      </c>
      <c r="U40" s="2">
        <f>MAX(H40:S40)</f>
        <v>9.1172996041398395</v>
      </c>
      <c r="V40" s="2">
        <f>MAX(-T40,U40)</f>
        <v>9.1172996041398395</v>
      </c>
    </row>
    <row r="41" spans="1:2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0.33532000000000001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1.2388999999999999</v>
      </c>
      <c r="D42" s="2"/>
      <c r="E42" s="2"/>
      <c r="F42" s="2"/>
      <c r="G42" s="1" t="str">
        <f>IF(C42="","","Vx")</f>
        <v>Vx</v>
      </c>
      <c r="H42" s="2">
        <f>IF(OR(H$23="",$C42=""),"",H$26*COS(H$27+$F43)+$D43-H$24)</f>
        <v>1.340876944532738</v>
      </c>
      <c r="I42" s="2">
        <f t="shared" ref="I42:S42" si="18">IF(OR(I$23="",$C42=""),"",I$26*COS(I$27+$F43)+$D43-I$24)</f>
        <v>1.0946101404680153</v>
      </c>
      <c r="J42" s="2">
        <f t="shared" si="18"/>
        <v>-0.2099515389133888</v>
      </c>
      <c r="K42" s="2">
        <f t="shared" si="18"/>
        <v>-5.8735080277156015E-2</v>
      </c>
      <c r="L42" s="2">
        <f t="shared" si="18"/>
        <v>-1.0994528245027713</v>
      </c>
      <c r="M42" s="2">
        <f t="shared" si="18"/>
        <v>-1.0044024790742831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-1.0994528245027713</v>
      </c>
      <c r="U42" s="2">
        <f>MAX(H42:S42)</f>
        <v>1.340876944532738</v>
      </c>
      <c r="V42" s="2">
        <f>MAX(-T42,U42)</f>
        <v>1.340876944532738</v>
      </c>
    </row>
    <row r="43" spans="1:2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0.60960999999999999</v>
      </c>
      <c r="D43" s="14">
        <f>IF(C42="","",(C42-C44*$B$19)*$F$28)</f>
        <v>0.30720148568198946</v>
      </c>
      <c r="E43" s="14">
        <f>IF(C42="","",(C43+C44*$B$18)*$F$28)</f>
        <v>2.0442373624717405</v>
      </c>
      <c r="F43" s="14">
        <f>IF(C42="","",C44*$F$28)</f>
        <v>0.14710999999999999</v>
      </c>
      <c r="G43" s="1" t="str">
        <f>IF(C42="","","Vy")</f>
        <v>Vy</v>
      </c>
      <c r="H43" s="2">
        <f>IF(OR(H$23="",$C42=""),"",H$26*SIN(H$27+$F43)+$E43-H$25)</f>
        <v>0.68318653088885917</v>
      </c>
      <c r="I43" s="2">
        <f t="shared" ref="I43:S43" si="19">IF(OR(I$23="",$C42=""),"",I$26*SIN(I$27+$F43)+$E43-I$25)</f>
        <v>4.0252097095288635</v>
      </c>
      <c r="J43" s="2">
        <f t="shared" si="19"/>
        <v>3.929079246538687</v>
      </c>
      <c r="K43" s="2">
        <f t="shared" si="19"/>
        <v>1.8769597508825475</v>
      </c>
      <c r="L43" s="2">
        <f t="shared" si="19"/>
        <v>1.8002714040027428</v>
      </c>
      <c r="M43" s="2">
        <f t="shared" si="19"/>
        <v>0.51036772101888417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0.51036772101888417</v>
      </c>
      <c r="U43" s="2">
        <f>MAX(H43:S43)</f>
        <v>4.0252097095288635</v>
      </c>
      <c r="V43" s="2">
        <f>MAX(-T43,U43)</f>
        <v>4.0252097095288635</v>
      </c>
    </row>
    <row r="44" spans="1:2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0.14710999999999999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6"/>
      <c r="U59" s="6"/>
      <c r="V59" s="6" t="s">
        <v>46</v>
      </c>
    </row>
    <row r="60" spans="1:22">
      <c r="T60" s="2"/>
      <c r="U60" s="18" t="s">
        <v>7</v>
      </c>
      <c r="V60" s="2">
        <f>MAX(V64,V67,V70,V73,V76,V79,V82,V85,V88,V91,)</f>
        <v>1.4666182547919071</v>
      </c>
    </row>
    <row r="61" spans="1:22">
      <c r="A61" s="10" t="s">
        <v>59</v>
      </c>
      <c r="E61" s="6" t="s">
        <v>56</v>
      </c>
      <c r="F61" s="1">
        <v>0.2</v>
      </c>
      <c r="T61" s="2"/>
      <c r="U61" s="19" t="s">
        <v>8</v>
      </c>
      <c r="V61" s="2">
        <f>MAX(V65,V68,V71,V74,V77,V80,V83,V86,V89,V92,)</f>
        <v>4.4565408323951266</v>
      </c>
    </row>
    <row r="62" spans="1:22">
      <c r="C62" s="6"/>
      <c r="E62" s="6" t="s">
        <v>9</v>
      </c>
      <c r="F62" s="2">
        <f>F61/E25*F28*Modi!$B$3</f>
        <v>0.23387622340379208</v>
      </c>
    </row>
    <row r="63" spans="1:22">
      <c r="A63" s="1" t="s">
        <v>4</v>
      </c>
      <c r="D63" s="1" t="s">
        <v>10</v>
      </c>
      <c r="E63" s="1" t="s">
        <v>6</v>
      </c>
      <c r="F63" s="1" t="s">
        <v>11</v>
      </c>
      <c r="T63" s="6" t="s">
        <v>44</v>
      </c>
      <c r="U63" s="6" t="s">
        <v>45</v>
      </c>
      <c r="V63" s="6" t="s">
        <v>46</v>
      </c>
    </row>
    <row r="64" spans="1:22">
      <c r="A64" s="1">
        <f>IF(A30="","",A30)</f>
        <v>5</v>
      </c>
      <c r="B64" s="1" t="str">
        <f>IF(B30="","",B30)</f>
        <v>Vx</v>
      </c>
      <c r="C64" s="14">
        <f>IF(C30="","",C30)</f>
        <v>5.7009999999999996</v>
      </c>
      <c r="D64" s="14"/>
      <c r="E64" s="14"/>
      <c r="F64" s="14"/>
      <c r="G64" s="1" t="str">
        <f>IF(G30="","","Vx")</f>
        <v>Vx</v>
      </c>
      <c r="H64" s="2">
        <f>IF(OR(H$23="",$C64=""),"",H$26*COS(H$27+$F65)+$D65-H$24)</f>
        <v>1.4666182547919071</v>
      </c>
      <c r="I64" s="2">
        <f t="shared" ref="I64:M64" si="30">IF(OR(I$23="",$C64=""),"",I$26*COS(I$27+$F65)+$D65-I$24)</f>
        <v>1.1431718453024118</v>
      </c>
      <c r="J64" s="2">
        <f t="shared" si="30"/>
        <v>-0.35063005493794819</v>
      </c>
      <c r="K64" s="2">
        <f t="shared" si="30"/>
        <v>-0.15202261051457344</v>
      </c>
      <c r="L64" s="2">
        <f t="shared" si="30"/>
        <v>-1.3437072725040751</v>
      </c>
      <c r="M64" s="2">
        <f t="shared" si="30"/>
        <v>-1.2188683074379547</v>
      </c>
      <c r="N64" s="2" t="str">
        <f t="shared" ref="N64:S64" si="31">IF(OR(N$23="",$C64=""),"",N$26*(COS(N$27+$F65)-COS(N$27))+$D65)</f>
        <v/>
      </c>
      <c r="O64" s="2" t="str">
        <f t="shared" si="31"/>
        <v/>
      </c>
      <c r="P64" s="2" t="str">
        <f t="shared" si="31"/>
        <v/>
      </c>
      <c r="Q64" s="2" t="str">
        <f t="shared" si="31"/>
        <v/>
      </c>
      <c r="R64" s="2" t="str">
        <f t="shared" si="31"/>
        <v/>
      </c>
      <c r="S64" s="2" t="str">
        <f t="shared" si="31"/>
        <v/>
      </c>
      <c r="T64" s="2">
        <f>MIN(H64:S64)</f>
        <v>-1.3437072725040751</v>
      </c>
      <c r="U64" s="2">
        <f>MAX(H64:S64)</f>
        <v>1.4666182547919071</v>
      </c>
      <c r="V64" s="2">
        <f>MAX(-T64,U64)</f>
        <v>1.4666182547919071</v>
      </c>
    </row>
    <row r="65" spans="1:22">
      <c r="B65" s="1" t="str">
        <f t="shared" ref="B65:C93" si="32">IF(B31="","",B31)</f>
        <v>Vy</v>
      </c>
      <c r="C65" s="14">
        <f t="shared" si="32"/>
        <v>2.2751000000000001</v>
      </c>
      <c r="D65" s="2">
        <f>(C30-C32*$B$19)*$F$62</f>
        <v>0.26526575162149918</v>
      </c>
      <c r="E65" s="2">
        <f>(C31+C32*$B$18)*$F$62</f>
        <v>2.1766922802298438</v>
      </c>
      <c r="F65" s="2">
        <f>C32*$F$62</f>
        <v>0.16864112840977236</v>
      </c>
      <c r="G65" s="1" t="str">
        <f>IF(G31="","","Vy")</f>
        <v>Vy</v>
      </c>
      <c r="H65" s="2">
        <f>IF(OR(H$23="",$C64=""),"",H$26*SIN(H$27+$F65)+$E65-H$25)</f>
        <v>0.62972248121757168</v>
      </c>
      <c r="I65" s="2">
        <f t="shared" ref="I65:M65" si="33">IF(OR(I$23="",$C64=""),"",I$26*SIN(I$27+$F65)+$E65-I$25)</f>
        <v>4.4565408323951266</v>
      </c>
      <c r="J65" s="2">
        <f t="shared" si="33"/>
        <v>4.3302832427259812</v>
      </c>
      <c r="K65" s="2">
        <f t="shared" si="33"/>
        <v>1.9804825007748521</v>
      </c>
      <c r="L65" s="2">
        <f t="shared" si="33"/>
        <v>1.8797601539601398</v>
      </c>
      <c r="M65" s="2">
        <f t="shared" si="33"/>
        <v>0.4027425447337194</v>
      </c>
      <c r="N65" s="2" t="str">
        <f t="shared" ref="N65:S65" si="34">IF(OR(N$23="",$C64=""),"",N$26*(SIN(N$27+$F65)-SIN(N$27))+$E65)</f>
        <v/>
      </c>
      <c r="O65" s="2" t="str">
        <f t="shared" si="34"/>
        <v/>
      </c>
      <c r="P65" s="2" t="str">
        <f t="shared" si="34"/>
        <v/>
      </c>
      <c r="Q65" s="2" t="str">
        <f t="shared" si="34"/>
        <v/>
      </c>
      <c r="R65" s="2" t="str">
        <f t="shared" si="34"/>
        <v/>
      </c>
      <c r="S65" s="2" t="str">
        <f t="shared" si="34"/>
        <v/>
      </c>
      <c r="T65" s="2">
        <f>MIN(H65:S65)</f>
        <v>0.4027425447337194</v>
      </c>
      <c r="U65" s="2">
        <f>MAX(H65:S65)</f>
        <v>4.4565408323951266</v>
      </c>
      <c r="V65" s="2">
        <f>MAX(-T65,U65)</f>
        <v>4.4565408323951266</v>
      </c>
    </row>
    <row r="66" spans="1:22">
      <c r="A66" s="13"/>
      <c r="B66" s="13" t="str">
        <f t="shared" si="32"/>
        <v>Rot</v>
      </c>
      <c r="C66" s="15">
        <f t="shared" si="32"/>
        <v>0.72106999999999999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>
      <c r="A67" s="1">
        <f>IF(A33="","",A33)</f>
        <v>4</v>
      </c>
      <c r="B67" s="1" t="str">
        <f t="shared" si="32"/>
        <v>Vx</v>
      </c>
      <c r="C67" s="14">
        <f t="shared" si="32"/>
        <v>5.0602999999999998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1.2872804040962271</v>
      </c>
      <c r="I67" s="2">
        <f t="shared" ref="I67" si="35">IF(OR(I$23="",$C67=""),"",I$26*(COS(I$27+$F68)-COS(I$27))+$D68)</f>
        <v>1.0365445849409105</v>
      </c>
      <c r="J67" s="2">
        <f t="shared" ref="J67" si="36">IF(OR(J$23="",$C67=""),"",J$26*(COS(J$27+$F68)-COS(J$27))+$D68)</f>
        <v>-0.27973598943779937</v>
      </c>
      <c r="K67" s="2">
        <f t="shared" ref="K67" si="37">IF(OR(K$23="",$C67=""),"",K$26*(COS(K$27+$F68)-COS(K$27))+$D68)</f>
        <v>-0.12577539872839638</v>
      </c>
      <c r="L67" s="2">
        <f t="shared" ref="L67" si="38">IF(OR(L$23="",$C67=""),"",L$26*(COS(L$27+$F68)-COS(L$27))+$D68)</f>
        <v>-1.1758419243563567</v>
      </c>
      <c r="M67" s="2">
        <f t="shared" ref="M67" si="39">IF(OR(M$23="",$C67=""),"",M$26*(COS(M$27+$F68)-COS(M$27))+$D68)</f>
        <v>-1.0790666959104485</v>
      </c>
      <c r="N67" s="2" t="str">
        <f t="shared" ref="N67" si="40">IF(OR(N$23="",$C67=""),"",N$26*(COS(N$27+$F68)-COS(N$27))+$D68)</f>
        <v/>
      </c>
      <c r="O67" s="2" t="str">
        <f t="shared" ref="O67" si="41">IF(OR(O$23="",$C67=""),"",O$26*(COS(O$27+$F68)-COS(O$27))+$D68)</f>
        <v/>
      </c>
      <c r="P67" s="2" t="str">
        <f t="shared" ref="P67" si="42">IF(OR(P$23="",$C67=""),"",P$26*(COS(P$27+$F68)-COS(P$27))+$D68)</f>
        <v/>
      </c>
      <c r="Q67" s="2" t="str">
        <f t="shared" ref="Q67" si="43">IF(OR(Q$23="",$C67=""),"",Q$26*(COS(Q$27+$F68)-COS(Q$27))+$D68)</f>
        <v/>
      </c>
      <c r="R67" s="2" t="str">
        <f t="shared" ref="R67" si="44">IF(OR(R$23="",$C67=""),"",R$26*(COS(R$27+$F68)-COS(R$27))+$D68)</f>
        <v/>
      </c>
      <c r="S67" s="2" t="str">
        <f t="shared" ref="S67" si="45">IF(OR(S$23="",$C67=""),"",S$26*(COS(S$27+$F68)-COS(S$27))+$D68)</f>
        <v/>
      </c>
      <c r="T67" s="2">
        <f>MIN(H67:S67)</f>
        <v>-1.1758419243563567</v>
      </c>
      <c r="U67" s="2">
        <f>MAX(H67:S67)</f>
        <v>1.2872804040962271</v>
      </c>
      <c r="V67" s="2">
        <f>MAX(-T67,U67)</f>
        <v>1.2872804040962271</v>
      </c>
    </row>
    <row r="68" spans="1:22">
      <c r="B68" s="1" t="str">
        <f t="shared" si="32"/>
        <v>Vy</v>
      </c>
      <c r="C68" s="14">
        <f t="shared" si="32"/>
        <v>2.056</v>
      </c>
      <c r="D68" s="2">
        <f>IF(C33="","",(C33-C35*$B$19)*$F$62)</f>
        <v>0.24335414195450816</v>
      </c>
      <c r="E68" s="2">
        <f>IF(C33="","",(C34+C35*$B$18)*$F$62)</f>
        <v>1.9284592167698618</v>
      </c>
      <c r="F68" s="2">
        <f>IF(C33="","",C35*$F$62)</f>
        <v>0.14844123899438685</v>
      </c>
      <c r="G68" s="1" t="str">
        <f>IF(G34="","","Vy")</f>
        <v>Vy</v>
      </c>
      <c r="H68" s="2">
        <f>IF(OR(H$23="",$C67=""),"",H$26*(SIN(H$27+$F68)-SIN(H$27))+$E68)</f>
        <v>0.55580893670691123</v>
      </c>
      <c r="I68" s="2">
        <f t="shared" ref="I68" si="46">IF(OR(I$23="",$C67=""),"",I$26*(SIN(I$27+$F68)-SIN(I$27))+$E68)</f>
        <v>3.9278535542164215</v>
      </c>
      <c r="J68" s="2">
        <f t="shared" ref="J68" si="47">IF(OR(J$23="",$C67=""),"",J$26*(SIN(J$27+$F68)-SIN(J$27))+$E68)</f>
        <v>3.8299786072654429</v>
      </c>
      <c r="K68" s="2">
        <f t="shared" ref="K68" si="48">IF(OR(K$23="",$C67=""),"",K$26*(SIN(K$27+$F68)-SIN(K$27))+$E68)</f>
        <v>1.7594248947596041</v>
      </c>
      <c r="L68" s="2">
        <f t="shared" ref="L68" si="49">IF(OR(L$23="",$C67=""),"",L$26*(SIN(L$27+$F68)-SIN(L$27))+$E68)</f>
        <v>1.6813448808998352</v>
      </c>
      <c r="M68" s="2">
        <f t="shared" ref="M68" si="50">IF(OR(M$23="",$C67=""),"",M$26*(SIN(M$27+$F68)-SIN(M$27))+$E68)</f>
        <v>0.37985397589616321</v>
      </c>
      <c r="N68" s="2" t="str">
        <f t="shared" ref="N68" si="51">IF(OR(N$23="",$C67=""),"",N$26*(SIN(N$27+$F68)-SIN(N$27))+$E68)</f>
        <v/>
      </c>
      <c r="O68" s="2" t="str">
        <f t="shared" ref="O68" si="52">IF(OR(O$23="",$C67=""),"",O$26*(SIN(O$27+$F68)-SIN(O$27))+$E68)</f>
        <v/>
      </c>
      <c r="P68" s="2" t="str">
        <f t="shared" ref="P68" si="53">IF(OR(P$23="",$C67=""),"",P$26*(SIN(P$27+$F68)-SIN(P$27))+$E68)</f>
        <v/>
      </c>
      <c r="Q68" s="2" t="str">
        <f t="shared" ref="Q68" si="54">IF(OR(Q$23="",$C67=""),"",Q$26*(SIN(Q$27+$F68)-SIN(Q$27))+$E68)</f>
        <v/>
      </c>
      <c r="R68" s="2" t="str">
        <f t="shared" ref="R68" si="55">IF(OR(R$23="",$C67=""),"",R$26*(SIN(R$27+$F68)-SIN(R$27))+$E68)</f>
        <v/>
      </c>
      <c r="S68" s="2" t="str">
        <f t="shared" ref="S68" si="56">IF(OR(S$23="",$C67=""),"",S$26*(SIN(S$27+$F68)-SIN(S$27))+$E68)</f>
        <v/>
      </c>
      <c r="T68" s="2">
        <f>MIN(H68:S68)</f>
        <v>0.37985397589616321</v>
      </c>
      <c r="U68" s="2">
        <f>MAX(H68:S68)</f>
        <v>3.9278535542164215</v>
      </c>
      <c r="V68" s="2">
        <f>MAX(-T68,U68)</f>
        <v>3.9278535542164215</v>
      </c>
    </row>
    <row r="69" spans="1:22">
      <c r="A69" s="13"/>
      <c r="B69" s="13" t="str">
        <f t="shared" si="32"/>
        <v>Rot</v>
      </c>
      <c r="C69" s="15">
        <f t="shared" si="32"/>
        <v>0.63470000000000004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>
      <c r="A70" s="1">
        <f>IF(A36="","",A36)</f>
        <v>3</v>
      </c>
      <c r="B70" s="1" t="str">
        <f t="shared" si="32"/>
        <v>Vx</v>
      </c>
      <c r="C70" s="14">
        <f t="shared" si="32"/>
        <v>4.0674000000000001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1.0175361639934282</v>
      </c>
      <c r="I70" s="2">
        <f t="shared" ref="I70" si="57">IF(OR(I$23="",$C70=""),"",I$26*(COS(I$27+$F71)-COS(I$27))+$D71)</f>
        <v>0.85853459578096714</v>
      </c>
      <c r="J70" s="2">
        <f t="shared" ref="J70" si="58">IF(OR(J$23="",$C70=""),"",J$26*(COS(J$27+$F71)-COS(J$27))+$D71)</f>
        <v>-0.19071738098439592</v>
      </c>
      <c r="K70" s="2">
        <f t="shared" ref="K70" si="59">IF(OR(K$23="",$C70=""),"",K$26*(COS(K$27+$F71)-COS(K$27))+$D71)</f>
        <v>-9.3084839099552258E-2</v>
      </c>
      <c r="L70" s="2">
        <f t="shared" ref="L70" si="60">IF(OR(L$23="",$C70=""),"",L$26*(COS(L$27+$F71)-COS(L$27))+$D71)</f>
        <v>-0.93012855090113578</v>
      </c>
      <c r="M70" s="2">
        <f t="shared" ref="M70" si="61">IF(OR(M$23="",$C70=""),"",M$26*(COS(M$27+$F71)-COS(M$27))+$D71)</f>
        <v>-0.86875952457352124</v>
      </c>
      <c r="N70" s="2" t="str">
        <f t="shared" ref="N70" si="62">IF(OR(N$23="",$C70=""),"",N$26*(COS(N$27+$F71)-COS(N$27))+$D71)</f>
        <v/>
      </c>
      <c r="O70" s="2" t="str">
        <f t="shared" ref="O70" si="63">IF(OR(O$23="",$C70=""),"",O$26*(COS(O$27+$F71)-COS(O$27))+$D71)</f>
        <v/>
      </c>
      <c r="P70" s="2" t="str">
        <f t="shared" ref="P70" si="64">IF(OR(P$23="",$C70=""),"",P$26*(COS(P$27+$F71)-COS(P$27))+$D71)</f>
        <v/>
      </c>
      <c r="Q70" s="2" t="str">
        <f t="shared" ref="Q70" si="65">IF(OR(Q$23="",$C70=""),"",Q$26*(COS(Q$27+$F71)-COS(Q$27))+$D71)</f>
        <v/>
      </c>
      <c r="R70" s="2" t="str">
        <f t="shared" ref="R70" si="66">IF(OR(R$23="",$C70=""),"",R$26*(COS(R$27+$F71)-COS(R$27))+$D71)</f>
        <v/>
      </c>
      <c r="S70" s="2" t="str">
        <f t="shared" ref="S70" si="67">IF(OR(S$23="",$C70=""),"",S$26*(COS(S$27+$F71)-COS(S$27))+$D71)</f>
        <v/>
      </c>
      <c r="T70" s="2">
        <f>MIN(H70:S70)</f>
        <v>-0.93012855090113578</v>
      </c>
      <c r="U70" s="2">
        <f>MAX(H70:S70)</f>
        <v>1.0175361639934282</v>
      </c>
      <c r="V70" s="2">
        <f>MAX(-T70,U70)</f>
        <v>1.0175361639934282</v>
      </c>
    </row>
    <row r="71" spans="1:22">
      <c r="B71" s="1" t="str">
        <f t="shared" si="32"/>
        <v>Vy</v>
      </c>
      <c r="C71" s="14">
        <f t="shared" si="32"/>
        <v>1.6943999999999999</v>
      </c>
      <c r="D71" s="2">
        <f>IF(C36="","",(C36-C38*$B$19)*$F$62)</f>
        <v>0.20286742955143025</v>
      </c>
      <c r="E71" s="2">
        <f>IF(C36="","",(C37+C38*$B$18)*$F$62)</f>
        <v>1.5486656894714945</v>
      </c>
      <c r="F71" s="2">
        <f>IF(C36="","",C38*$F$62)</f>
        <v>0.118168300637</v>
      </c>
      <c r="G71" s="1" t="str">
        <f>IF(G37="","","Vy")</f>
        <v>Vy</v>
      </c>
      <c r="H71" s="2">
        <f>IF(OR(H$23="",$C70=""),"",H$26*(SIN(H$27+$F71)-SIN(H$27))+$E71)</f>
        <v>0.443127128316533</v>
      </c>
      <c r="I71" s="2">
        <f t="shared" ref="I71" si="68">IF(OR(I$23="",$C70=""),"",I$26*(SIN(I$27+$F71)-SIN(I$27))+$E71)</f>
        <v>3.1310984845244332</v>
      </c>
      <c r="J71" s="2">
        <f t="shared" ref="J71" si="69">IF(OR(J$23="",$C70=""),"",J$26*(SIN(J$27+$F71)-SIN(J$27))+$E71)</f>
        <v>3.0690320828976398</v>
      </c>
      <c r="K71" s="2">
        <f t="shared" ref="K71" si="70">IF(OR(K$23="",$C70=""),"",K$26*(SIN(K$27+$F71)-SIN(K$27))+$E71)</f>
        <v>1.4185233554015613</v>
      </c>
      <c r="L71" s="2">
        <f t="shared" ref="L71" si="71">IF(OR(L$23="",$C70=""),"",L$26*(SIN(L$27+$F71)-SIN(L$27))+$E71)</f>
        <v>1.3690097091599613</v>
      </c>
      <c r="M71" s="2">
        <f t="shared" ref="M71" si="72">IF(OR(M$23="",$C70=""),"",M$26*(SIN(M$27+$F71)-SIN(M$27))+$E71)</f>
        <v>0.3315470804481393</v>
      </c>
      <c r="N71" s="2" t="str">
        <f t="shared" ref="N71" si="73">IF(OR(N$23="",$C70=""),"",N$26*(SIN(N$27+$F71)-SIN(N$27))+$E71)</f>
        <v/>
      </c>
      <c r="O71" s="2" t="str">
        <f t="shared" ref="O71" si="74">IF(OR(O$23="",$C70=""),"",O$26*(SIN(O$27+$F71)-SIN(O$27))+$E71)</f>
        <v/>
      </c>
      <c r="P71" s="2" t="str">
        <f t="shared" ref="P71" si="75">IF(OR(P$23="",$C70=""),"",P$26*(SIN(P$27+$F71)-SIN(P$27))+$E71)</f>
        <v/>
      </c>
      <c r="Q71" s="2" t="str">
        <f t="shared" ref="Q71" si="76">IF(OR(Q$23="",$C70=""),"",Q$26*(SIN(Q$27+$F71)-SIN(Q$27))+$E71)</f>
        <v/>
      </c>
      <c r="R71" s="2" t="str">
        <f t="shared" ref="R71" si="77">IF(OR(R$23="",$C70=""),"",R$26*(SIN(R$27+$F71)-SIN(R$27))+$E71)</f>
        <v/>
      </c>
      <c r="S71" s="2" t="str">
        <f t="shared" ref="S71" si="78">IF(OR(S$23="",$C70=""),"",S$26*(SIN(S$27+$F71)-SIN(S$27))+$E71)</f>
        <v/>
      </c>
      <c r="T71" s="2">
        <f>MIN(H71:S71)</f>
        <v>0.3315470804481393</v>
      </c>
      <c r="U71" s="2">
        <f>MAX(H71:S71)</f>
        <v>3.1310984845244332</v>
      </c>
      <c r="V71" s="2">
        <f>MAX(-T71,U71)</f>
        <v>3.1310984845244332</v>
      </c>
    </row>
    <row r="72" spans="1:22">
      <c r="A72" s="13"/>
      <c r="B72" s="13" t="str">
        <f t="shared" si="32"/>
        <v>Rot</v>
      </c>
      <c r="C72" s="15">
        <f t="shared" si="32"/>
        <v>0.50526000000000004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>
      <c r="A73" s="1">
        <f>IF(A39="","",A39)</f>
        <v>2</v>
      </c>
      <c r="B73" s="1" t="str">
        <f t="shared" si="32"/>
        <v>Vx</v>
      </c>
      <c r="C73" s="14">
        <f t="shared" si="32"/>
        <v>2.7399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0.67026185967691354</v>
      </c>
      <c r="I73" s="2">
        <f t="shared" ref="I73" si="79">IF(OR(I$23="",$C73=""),"",I$26*(COS(I$27+$F74)-COS(I$27))+$D74)</f>
        <v>0.60018521240104794</v>
      </c>
      <c r="J73" s="2">
        <f t="shared" ref="J73" si="80">IF(OR(J$23="",$C73=""),"",J$26*(COS(J$27+$F74)-COS(J$27))+$D74)</f>
        <v>-9.7067603630943439E-2</v>
      </c>
      <c r="K73" s="2">
        <f t="shared" ref="K73" si="81">IF(OR(K$23="",$C73=""),"",K$26*(COS(K$27+$F74)-COS(K$27))+$D74)</f>
        <v>-5.4038083373833395E-2</v>
      </c>
      <c r="L73" s="2">
        <f t="shared" ref="L73" si="82">IF(OR(L$23="",$C73=""),"",L$26*(COS(L$27+$F74)-COS(L$27))+$D74)</f>
        <v>-0.61027347593868175</v>
      </c>
      <c r="M73" s="2">
        <f t="shared" ref="M73" si="83">IF(OR(M$23="",$C73=""),"",M$26*(COS(M$27+$F74)-COS(M$27))+$D74)</f>
        <v>-0.58322634891992542</v>
      </c>
      <c r="N73" s="2" t="str">
        <f t="shared" ref="N73" si="84">IF(OR(N$23="",$C73=""),"",N$26*(COS(N$27+$F74)-COS(N$27))+$D74)</f>
        <v/>
      </c>
      <c r="O73" s="2" t="str">
        <f t="shared" ref="O73" si="85">IF(OR(O$23="",$C73=""),"",O$26*(COS(O$27+$F74)-COS(O$27))+$D74)</f>
        <v/>
      </c>
      <c r="P73" s="2" t="str">
        <f t="shared" ref="P73" si="86">IF(OR(P$23="",$C73=""),"",P$26*(COS(P$27+$F74)-COS(P$27))+$D74)</f>
        <v/>
      </c>
      <c r="Q73" s="2" t="str">
        <f t="shared" ref="Q73" si="87">IF(OR(Q$23="",$C73=""),"",Q$26*(COS(Q$27+$F74)-COS(Q$27))+$D74)</f>
        <v/>
      </c>
      <c r="R73" s="2" t="str">
        <f t="shared" ref="R73" si="88">IF(OR(R$23="",$C73=""),"",R$26*(COS(R$27+$F74)-COS(R$27))+$D74)</f>
        <v/>
      </c>
      <c r="S73" s="2" t="str">
        <f t="shared" ref="S73" si="89">IF(OR(S$23="",$C73=""),"",S$26*(COS(S$27+$F74)-COS(S$27))+$D74)</f>
        <v/>
      </c>
      <c r="T73" s="2">
        <f>MIN(H73:S73)</f>
        <v>-0.61027347593868175</v>
      </c>
      <c r="U73" s="2">
        <f>MAX(H73:S73)</f>
        <v>0.67026185967691354</v>
      </c>
      <c r="V73" s="2">
        <f>MAX(-T73,U73)</f>
        <v>0.67026185967691354</v>
      </c>
    </row>
    <row r="74" spans="1:22">
      <c r="B74" s="1" t="str">
        <f t="shared" si="32"/>
        <v>Vy</v>
      </c>
      <c r="C74" s="14">
        <f t="shared" si="32"/>
        <v>1.2008000000000001</v>
      </c>
      <c r="D74" s="2">
        <f>IF(C39="","",(C39-C41*$B$19)*$F$62)</f>
        <v>0.14411510306543765</v>
      </c>
      <c r="E74" s="2">
        <f>IF(C39="","",(C40+C41*$B$18)*$F$62)</f>
        <v>1.0456289977552107</v>
      </c>
      <c r="F74" s="2">
        <f>IF(C39="","",C41*$F$62)</f>
        <v>7.8423375231759559E-2</v>
      </c>
      <c r="G74" s="1" t="str">
        <f>IF(G40="","","Vy")</f>
        <v>Vy</v>
      </c>
      <c r="H74" s="2">
        <f>IF(OR(H$23="",$C73=""),"",H$26*(SIN(H$27+$F74)-SIN(H$27))+$E74)</f>
        <v>0.3010880409542972</v>
      </c>
      <c r="I74" s="2">
        <f t="shared" ref="I74" si="90">IF(OR(I$23="",$C73=""),"",I$26*(SIN(I$27+$F74)-SIN(I$27))+$E74)</f>
        <v>2.0873087382047943</v>
      </c>
      <c r="J74" s="2">
        <f t="shared" ref="J74" si="91">IF(OR(J$23="",$C73=""),"",J$26*(SIN(J$27+$F74)-SIN(J$27))+$E74)</f>
        <v>2.0599542574699163</v>
      </c>
      <c r="K74" s="2">
        <f t="shared" ref="K74" si="92">IF(OR(K$23="",$C73=""),"",K$26*(SIN(K$27+$F74)-SIN(K$27))+$E74)</f>
        <v>0.9631520749476804</v>
      </c>
      <c r="L74" s="2">
        <f t="shared" ref="L74" si="93">IF(OR(L$23="",$C73=""),"",L$26*(SIN(L$27+$F74)-SIN(L$27))+$E74)</f>
        <v>0.94132996110300271</v>
      </c>
      <c r="M74" s="2">
        <f t="shared" ref="M74" si="94">IF(OR(M$23="",$C73=""),"",M$26*(SIN(M$27+$F74)-SIN(M$27))+$E74)</f>
        <v>0.25191144637474094</v>
      </c>
      <c r="N74" s="2" t="str">
        <f t="shared" ref="N74" si="95">IF(OR(N$23="",$C73=""),"",N$26*(SIN(N$27+$F74)-SIN(N$27))+$E74)</f>
        <v/>
      </c>
      <c r="O74" s="2" t="str">
        <f t="shared" ref="O74" si="96">IF(OR(O$23="",$C73=""),"",O$26*(SIN(O$27+$F74)-SIN(O$27))+$E74)</f>
        <v/>
      </c>
      <c r="P74" s="2" t="str">
        <f t="shared" ref="P74" si="97">IF(OR(P$23="",$C73=""),"",P$26*(SIN(P$27+$F74)-SIN(P$27))+$E74)</f>
        <v/>
      </c>
      <c r="Q74" s="2" t="str">
        <f t="shared" ref="Q74" si="98">IF(OR(Q$23="",$C73=""),"",Q$26*(SIN(Q$27+$F74)-SIN(Q$27))+$E74)</f>
        <v/>
      </c>
      <c r="R74" s="2" t="str">
        <f t="shared" ref="R74" si="99">IF(OR(R$23="",$C73=""),"",R$26*(SIN(R$27+$F74)-SIN(R$27))+$E74)</f>
        <v/>
      </c>
      <c r="S74" s="2" t="str">
        <f t="shared" ref="S74" si="100">IF(OR(S$23="",$C73=""),"",S$26*(SIN(S$27+$F74)-SIN(S$27))+$E74)</f>
        <v/>
      </c>
      <c r="T74" s="2">
        <f>MIN(H74:S74)</f>
        <v>0.25191144637474094</v>
      </c>
      <c r="U74" s="2">
        <f>MAX(H74:S74)</f>
        <v>2.0873087382047943</v>
      </c>
      <c r="V74" s="2">
        <f>MAX(-T74,U74)</f>
        <v>2.0873087382047943</v>
      </c>
    </row>
    <row r="75" spans="1:22">
      <c r="A75" s="13"/>
      <c r="B75" s="13" t="str">
        <f t="shared" si="32"/>
        <v>Rot</v>
      </c>
      <c r="C75" s="15">
        <f t="shared" si="32"/>
        <v>0.33532000000000001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>
      <c r="A76" s="1">
        <f>IF(A42="","",A42)</f>
        <v>1</v>
      </c>
      <c r="B76" s="1" t="str">
        <f t="shared" si="32"/>
        <v>Vx</v>
      </c>
      <c r="C76" s="14">
        <f t="shared" si="32"/>
        <v>1.2388999999999999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0.29547765831472972</v>
      </c>
      <c r="I76" s="2">
        <f t="shared" ref="I76" si="101">IF(OR(I$23="",$C76=""),"",I$26*(COS(I$27+$F77)-COS(I$27))+$D77)</f>
        <v>0.28198434684275786</v>
      </c>
      <c r="J76" s="2">
        <f t="shared" ref="J76" si="102">IF(OR(J$23="",$C76=""),"",J$26*(COS(J$27+$F77)-COS(J$27))+$D77)</f>
        <v>-2.416447258652632E-2</v>
      </c>
      <c r="K76" s="2">
        <f t="shared" ref="K76" si="103">IF(OR(K$23="",$C76=""),"",K$26*(COS(K$27+$F77)-COS(K$27))+$D77)</f>
        <v>-1.58791058932128E-2</v>
      </c>
      <c r="L76" s="2">
        <f t="shared" ref="L76" si="104">IF(OR(L$23="",$C76=""),"",L$26*(COS(L$27+$F77)-COS(L$27))+$D77)</f>
        <v>-0.2601101865615203</v>
      </c>
      <c r="M76" s="2">
        <f t="shared" ref="M76" si="105">IF(OR(M$23="",$C76=""),"",M$26*(COS(M$27+$F77)-COS(M$27))+$D77)</f>
        <v>-0.25490224178286736</v>
      </c>
      <c r="N76" s="2" t="str">
        <f t="shared" ref="N76" si="106">IF(OR(N$23="",$C76=""),"",N$26*(COS(N$27+$F77)-COS(N$27))+$D77)</f>
        <v/>
      </c>
      <c r="O76" s="2" t="str">
        <f t="shared" ref="O76" si="107">IF(OR(O$23="",$C76=""),"",O$26*(COS(O$27+$F77)-COS(O$27))+$D77)</f>
        <v/>
      </c>
      <c r="P76" s="2" t="str">
        <f t="shared" ref="P76" si="108">IF(OR(P$23="",$C76=""),"",P$26*(COS(P$27+$F77)-COS(P$27))+$D77)</f>
        <v/>
      </c>
      <c r="Q76" s="2" t="str">
        <f t="shared" ref="Q76" si="109">IF(OR(Q$23="",$C76=""),"",Q$26*(COS(Q$27+$F77)-COS(Q$27))+$D77)</f>
        <v/>
      </c>
      <c r="R76" s="2" t="str">
        <f t="shared" ref="R76" si="110">IF(OR(R$23="",$C76=""),"",R$26*(COS(R$27+$F77)-COS(R$27))+$D77)</f>
        <v/>
      </c>
      <c r="S76" s="2" t="str">
        <f t="shared" ref="S76" si="111">IF(OR(S$23="",$C76=""),"",S$26*(COS(S$27+$F77)-COS(S$27))+$D77)</f>
        <v/>
      </c>
      <c r="T76" s="2">
        <f>MIN(H76:S76)</f>
        <v>-0.2601101865615203</v>
      </c>
      <c r="U76" s="2">
        <f>MAX(H76:S76)</f>
        <v>0.29547765831472972</v>
      </c>
      <c r="V76" s="2">
        <f>MAX(-T76,U76)</f>
        <v>0.29547765831472972</v>
      </c>
    </row>
    <row r="77" spans="1:22">
      <c r="B77" s="1" t="str">
        <f t="shared" si="32"/>
        <v>Vy</v>
      </c>
      <c r="C77" s="14">
        <f t="shared" si="32"/>
        <v>0.60960999999999999</v>
      </c>
      <c r="D77" s="2">
        <f>IF(C42="","",(C42-C44*$B$19)*$F$62)</f>
        <v>7.1847123295337795E-2</v>
      </c>
      <c r="E77" s="2">
        <f>IF(C42="","",(C43+C44*$B$18)*$F$62)</f>
        <v>0.47809851407581944</v>
      </c>
      <c r="F77" s="2">
        <f>IF(C42="","",C44*$F$62)</f>
        <v>3.4405531224931847E-2</v>
      </c>
      <c r="G77" s="1" t="str">
        <f>IF(G43="","","Vy")</f>
        <v>Vy</v>
      </c>
      <c r="H77" s="2">
        <f>IF(OR(H$23="",$C76=""),"",H$26*(SIN(H$27+$F77)-SIN(H$27))+$E77)</f>
        <v>0.14638762594476762</v>
      </c>
      <c r="I77" s="2">
        <f t="shared" ref="I77" si="112">IF(OR(I$23="",$C76=""),"",I$26*(SIN(I$27+$F77)-SIN(I$27))+$E77)</f>
        <v>0.93067898358384182</v>
      </c>
      <c r="J77" s="2">
        <f t="shared" ref="J77" si="113">IF(OR(J$23="",$C76=""),"",J$26*(SIN(J$27+$F77)-SIN(J$27))+$E77)</f>
        <v>0.92541185761452072</v>
      </c>
      <c r="K77" s="2">
        <f t="shared" ref="K77" si="114">IF(OR(K$23="",$C76=""),"",K$26*(SIN(K$27+$F77)-SIN(K$27))+$E77)</f>
        <v>0.44382944502912547</v>
      </c>
      <c r="L77" s="2">
        <f t="shared" ref="L77" si="115">IF(OR(L$23="",$C76=""),"",L$26*(SIN(L$27+$F77)-SIN(L$27))+$E77)</f>
        <v>0.4396275804918014</v>
      </c>
      <c r="M77" s="2">
        <f t="shared" ref="M77" si="116">IF(OR(M$23="",$C76=""),"",M$26*(SIN(M$27+$F77)-SIN(M$27))+$E77)</f>
        <v>0.13691863543812172</v>
      </c>
      <c r="N77" s="2" t="str">
        <f t="shared" ref="N77" si="117">IF(OR(N$23="",$C76=""),"",N$26*(SIN(N$27+$F77)-SIN(N$27))+$E77)</f>
        <v/>
      </c>
      <c r="O77" s="2" t="str">
        <f t="shared" ref="O77" si="118">IF(OR(O$23="",$C76=""),"",O$26*(SIN(O$27+$F77)-SIN(O$27))+$E77)</f>
        <v/>
      </c>
      <c r="P77" s="2" t="str">
        <f t="shared" ref="P77" si="119">IF(OR(P$23="",$C76=""),"",P$26*(SIN(P$27+$F77)-SIN(P$27))+$E77)</f>
        <v/>
      </c>
      <c r="Q77" s="2" t="str">
        <f t="shared" ref="Q77" si="120">IF(OR(Q$23="",$C76=""),"",Q$26*(SIN(Q$27+$F77)-SIN(Q$27))+$E77)</f>
        <v/>
      </c>
      <c r="R77" s="2" t="str">
        <f t="shared" ref="R77" si="121">IF(OR(R$23="",$C76=""),"",R$26*(SIN(R$27+$F77)-SIN(R$27))+$E77)</f>
        <v/>
      </c>
      <c r="S77" s="2" t="str">
        <f t="shared" ref="S77" si="122">IF(OR(S$23="",$C76=""),"",S$26*(SIN(S$27+$F77)-SIN(S$27))+$E77)</f>
        <v/>
      </c>
      <c r="T77" s="2">
        <f>MIN(H77:S77)</f>
        <v>0.13691863543812172</v>
      </c>
      <c r="U77" s="2">
        <f>MAX(H77:S77)</f>
        <v>0.93067898358384182</v>
      </c>
      <c r="V77" s="2">
        <f>MAX(-T77,U77)</f>
        <v>0.93067898358384182</v>
      </c>
    </row>
    <row r="78" spans="1:22">
      <c r="A78" s="13"/>
      <c r="B78" s="13" t="str">
        <f t="shared" si="32"/>
        <v>Rot</v>
      </c>
      <c r="C78" s="15">
        <f t="shared" si="32"/>
        <v>0.14710999999999999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>
      <c r="A79" s="1" t="str">
        <f>IF(A45="","",A45)</f>
        <v/>
      </c>
      <c r="B79" s="1" t="str">
        <f t="shared" si="32"/>
        <v/>
      </c>
      <c r="C79" s="14" t="str">
        <f t="shared" si="32"/>
        <v/>
      </c>
      <c r="D79" s="14"/>
      <c r="E79" s="14"/>
      <c r="F79" s="14"/>
      <c r="G79" s="1" t="str">
        <f>IF(G45="","","Vx")</f>
        <v/>
      </c>
      <c r="H79" s="2" t="str">
        <f>IF(OR(H$23="",$C79=""),"",H$26*(COS(H$27+$F80)-COS(H$27))+$D80)</f>
        <v/>
      </c>
      <c r="I79" s="2" t="str">
        <f t="shared" ref="I79" si="123">IF(OR(I$23="",$C79=""),"",I$26*(COS(I$27+$F80)-COS(I$27))+$D80)</f>
        <v/>
      </c>
      <c r="J79" s="2" t="str">
        <f t="shared" ref="J79" si="124">IF(OR(J$23="",$C79=""),"",J$26*(COS(J$27+$F80)-COS(J$27))+$D80)</f>
        <v/>
      </c>
      <c r="K79" s="2" t="str">
        <f t="shared" ref="K79" si="125">IF(OR(K$23="",$C79=""),"",K$26*(COS(K$27+$F80)-COS(K$27))+$D80)</f>
        <v/>
      </c>
      <c r="L79" s="2" t="str">
        <f t="shared" ref="L79" si="126">IF(OR(L$23="",$C79=""),"",L$26*(COS(L$27+$F80)-COS(L$27))+$D80)</f>
        <v/>
      </c>
      <c r="M79" s="2" t="str">
        <f t="shared" ref="M79" si="127">IF(OR(M$23="",$C79=""),"",M$26*(COS(M$27+$F80)-COS(M$27))+$D80)</f>
        <v/>
      </c>
      <c r="N79" s="2" t="str">
        <f t="shared" ref="N79" si="128">IF(OR(N$23="",$C79=""),"",N$26*(COS(N$27+$F80)-COS(N$27))+$D80)</f>
        <v/>
      </c>
      <c r="O79" s="2" t="str">
        <f t="shared" ref="O79" si="129">IF(OR(O$23="",$C79=""),"",O$26*(COS(O$27+$F80)-COS(O$27))+$D80)</f>
        <v/>
      </c>
      <c r="P79" s="2" t="str">
        <f t="shared" ref="P79" si="130">IF(OR(P$23="",$C79=""),"",P$26*(COS(P$27+$F80)-COS(P$27))+$D80)</f>
        <v/>
      </c>
      <c r="Q79" s="2" t="str">
        <f t="shared" ref="Q79" si="131">IF(OR(Q$23="",$C79=""),"",Q$26*(COS(Q$27+$F80)-COS(Q$27))+$D80)</f>
        <v/>
      </c>
      <c r="R79" s="2" t="str">
        <f t="shared" ref="R79" si="132">IF(OR(R$23="",$C79=""),"",R$26*(COS(R$27+$F80)-COS(R$27))+$D80)</f>
        <v/>
      </c>
      <c r="S79" s="2" t="str">
        <f t="shared" ref="S79" si="133">IF(OR(S$23="",$C79=""),"",S$26*(COS(S$27+$F80)-COS(S$27))+$D80)</f>
        <v/>
      </c>
      <c r="T79" s="2">
        <f>MIN(H79:S79)</f>
        <v>0</v>
      </c>
      <c r="U79" s="2">
        <f>MAX(H79:S79)</f>
        <v>0</v>
      </c>
      <c r="V79" s="2">
        <f>MAX(-T79,U79)</f>
        <v>0</v>
      </c>
    </row>
    <row r="80" spans="1:22">
      <c r="B80" s="1" t="str">
        <f t="shared" si="32"/>
        <v/>
      </c>
      <c r="C80" s="14" t="str">
        <f t="shared" si="32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>IF(OR(H$23="",$C79=""),"",H$26*(SIN(H$27+$F80)-SIN(H$27))+$E80)</f>
        <v/>
      </c>
      <c r="I80" s="2" t="str">
        <f t="shared" ref="I80" si="134">IF(OR(I$23="",$C79=""),"",I$26*(SIN(I$27+$F80)-SIN(I$27))+$E80)</f>
        <v/>
      </c>
      <c r="J80" s="2" t="str">
        <f t="shared" ref="J80" si="135">IF(OR(J$23="",$C79=""),"",J$26*(SIN(J$27+$F80)-SIN(J$27))+$E80)</f>
        <v/>
      </c>
      <c r="K80" s="2" t="str">
        <f t="shared" ref="K80" si="136">IF(OR(K$23="",$C79=""),"",K$26*(SIN(K$27+$F80)-SIN(K$27))+$E80)</f>
        <v/>
      </c>
      <c r="L80" s="2" t="str">
        <f t="shared" ref="L80" si="137">IF(OR(L$23="",$C79=""),"",L$26*(SIN(L$27+$F80)-SIN(L$27))+$E80)</f>
        <v/>
      </c>
      <c r="M80" s="2" t="str">
        <f t="shared" ref="M80" si="138">IF(OR(M$23="",$C79=""),"",M$26*(SIN(M$27+$F80)-SIN(M$27))+$E80)</f>
        <v/>
      </c>
      <c r="N80" s="2" t="str">
        <f t="shared" ref="N80" si="139">IF(OR(N$23="",$C79=""),"",N$26*(SIN(N$27+$F80)-SIN(N$27))+$E80)</f>
        <v/>
      </c>
      <c r="O80" s="2" t="str">
        <f t="shared" ref="O80" si="140">IF(OR(O$23="",$C79=""),"",O$26*(SIN(O$27+$F80)-SIN(O$27))+$E80)</f>
        <v/>
      </c>
      <c r="P80" s="2" t="str">
        <f t="shared" ref="P80" si="141">IF(OR(P$23="",$C79=""),"",P$26*(SIN(P$27+$F80)-SIN(P$27))+$E80)</f>
        <v/>
      </c>
      <c r="Q80" s="2" t="str">
        <f t="shared" ref="Q80" si="142">IF(OR(Q$23="",$C79=""),"",Q$26*(SIN(Q$27+$F80)-SIN(Q$27))+$E80)</f>
        <v/>
      </c>
      <c r="R80" s="2" t="str">
        <f t="shared" ref="R80" si="143">IF(OR(R$23="",$C79=""),"",R$26*(SIN(R$27+$F80)-SIN(R$27))+$E80)</f>
        <v/>
      </c>
      <c r="S80" s="2" t="str">
        <f t="shared" ref="S80" si="144">IF(OR(S$23="",$C79=""),"",S$26*(SIN(S$27+$F80)-SIN(S$27))+$E80)</f>
        <v/>
      </c>
      <c r="T80" s="2">
        <f>MIN(H80:S80)</f>
        <v>0</v>
      </c>
      <c r="U80" s="2">
        <f>MAX(H80:S80)</f>
        <v>0</v>
      </c>
      <c r="V80" s="2">
        <f>MAX(-T80,U80)</f>
        <v>0</v>
      </c>
    </row>
    <row r="81" spans="1:22">
      <c r="A81" s="13"/>
      <c r="B81" s="13" t="str">
        <f t="shared" si="32"/>
        <v/>
      </c>
      <c r="C81" s="15" t="str">
        <f t="shared" si="32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>
      <c r="A82" s="1" t="str">
        <f>IF(A48="","",A48)</f>
        <v/>
      </c>
      <c r="B82" s="1" t="str">
        <f t="shared" si="32"/>
        <v/>
      </c>
      <c r="C82" s="14" t="str">
        <f t="shared" si="32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5">IF(OR(I$23="",$C82=""),"",I$26*(COS(I$27+$F83)-COS(I$27))+$D83)</f>
        <v/>
      </c>
      <c r="J82" s="2" t="str">
        <f t="shared" ref="J82" si="146">IF(OR(J$23="",$C82=""),"",J$26*(COS(J$27+$F83)-COS(J$27))+$D83)</f>
        <v/>
      </c>
      <c r="K82" s="2" t="str">
        <f t="shared" ref="K82" si="147">IF(OR(K$23="",$C82=""),"",K$26*(COS(K$27+$F83)-COS(K$27))+$D83)</f>
        <v/>
      </c>
      <c r="L82" s="2" t="str">
        <f t="shared" ref="L82" si="148">IF(OR(L$23="",$C82=""),"",L$26*(COS(L$27+$F83)-COS(L$27))+$D83)</f>
        <v/>
      </c>
      <c r="M82" s="2" t="str">
        <f t="shared" ref="M82" si="149">IF(OR(M$23="",$C82=""),"",M$26*(COS(M$27+$F83)-COS(M$27))+$D83)</f>
        <v/>
      </c>
      <c r="N82" s="2" t="str">
        <f t="shared" ref="N82" si="150">IF(OR(N$23="",$C82=""),"",N$26*(COS(N$27+$F83)-COS(N$27))+$D83)</f>
        <v/>
      </c>
      <c r="O82" s="2" t="str">
        <f t="shared" ref="O82" si="151">IF(OR(O$23="",$C82=""),"",O$26*(COS(O$27+$F83)-COS(O$27))+$D83)</f>
        <v/>
      </c>
      <c r="P82" s="2" t="str">
        <f t="shared" ref="P82" si="152">IF(OR(P$23="",$C82=""),"",P$26*(COS(P$27+$F83)-COS(P$27))+$D83)</f>
        <v/>
      </c>
      <c r="Q82" s="2" t="str">
        <f t="shared" ref="Q82" si="153">IF(OR(Q$23="",$C82=""),"",Q$26*(COS(Q$27+$F83)-COS(Q$27))+$D83)</f>
        <v/>
      </c>
      <c r="R82" s="2" t="str">
        <f t="shared" ref="R82" si="154">IF(OR(R$23="",$C82=""),"",R$26*(COS(R$27+$F83)-COS(R$27))+$D83)</f>
        <v/>
      </c>
      <c r="S82" s="2" t="str">
        <f t="shared" ref="S82" si="155">IF(OR(S$23="",$C82=""),"",S$26*(COS(S$27+$F83)-COS(S$27))+$D83)</f>
        <v/>
      </c>
      <c r="T82" s="2">
        <f>MIN(H82:S82)</f>
        <v>0</v>
      </c>
      <c r="U82" s="2">
        <f>MAX(H82:S82)</f>
        <v>0</v>
      </c>
      <c r="V82" s="2">
        <f>MAX(-T82,U82)</f>
        <v>0</v>
      </c>
    </row>
    <row r="83" spans="1:22">
      <c r="B83" s="1" t="str">
        <f t="shared" si="32"/>
        <v/>
      </c>
      <c r="C83" s="14" t="str">
        <f t="shared" si="32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6">IF(OR(I$23="",$C82=""),"",I$26*(SIN(I$27+$F83)-SIN(I$27))+$E83)</f>
        <v/>
      </c>
      <c r="J83" s="2" t="str">
        <f t="shared" ref="J83" si="157">IF(OR(J$23="",$C82=""),"",J$26*(SIN(J$27+$F83)-SIN(J$27))+$E83)</f>
        <v/>
      </c>
      <c r="K83" s="2" t="str">
        <f t="shared" ref="K83" si="158">IF(OR(K$23="",$C82=""),"",K$26*(SIN(K$27+$F83)-SIN(K$27))+$E83)</f>
        <v/>
      </c>
      <c r="L83" s="2" t="str">
        <f t="shared" ref="L83" si="159">IF(OR(L$23="",$C82=""),"",L$26*(SIN(L$27+$F83)-SIN(L$27))+$E83)</f>
        <v/>
      </c>
      <c r="M83" s="2" t="str">
        <f t="shared" ref="M83" si="160">IF(OR(M$23="",$C82=""),"",M$26*(SIN(M$27+$F83)-SIN(M$27))+$E83)</f>
        <v/>
      </c>
      <c r="N83" s="2" t="str">
        <f t="shared" ref="N83" si="161">IF(OR(N$23="",$C82=""),"",N$26*(SIN(N$27+$F83)-SIN(N$27))+$E83)</f>
        <v/>
      </c>
      <c r="O83" s="2" t="str">
        <f t="shared" ref="O83" si="162">IF(OR(O$23="",$C82=""),"",O$26*(SIN(O$27+$F83)-SIN(O$27))+$E83)</f>
        <v/>
      </c>
      <c r="P83" s="2" t="str">
        <f t="shared" ref="P83" si="163">IF(OR(P$23="",$C82=""),"",P$26*(SIN(P$27+$F83)-SIN(P$27))+$E83)</f>
        <v/>
      </c>
      <c r="Q83" s="2" t="str">
        <f t="shared" ref="Q83" si="164">IF(OR(Q$23="",$C82=""),"",Q$26*(SIN(Q$27+$F83)-SIN(Q$27))+$E83)</f>
        <v/>
      </c>
      <c r="R83" s="2" t="str">
        <f t="shared" ref="R83" si="165">IF(OR(R$23="",$C82=""),"",R$26*(SIN(R$27+$F83)-SIN(R$27))+$E83)</f>
        <v/>
      </c>
      <c r="S83" s="2" t="str">
        <f t="shared" ref="S83" si="166">IF(OR(S$23="",$C82=""),"",S$26*(SIN(S$27+$F83)-SIN(S$27))+$E83)</f>
        <v/>
      </c>
      <c r="T83" s="2">
        <f>MIN(H83:S83)</f>
        <v>0</v>
      </c>
      <c r="U83" s="2">
        <f>MAX(H83:S83)</f>
        <v>0</v>
      </c>
      <c r="V83" s="2">
        <f>MAX(-T83,U83)</f>
        <v>0</v>
      </c>
    </row>
    <row r="84" spans="1:22">
      <c r="A84" s="13"/>
      <c r="B84" s="13" t="str">
        <f t="shared" si="32"/>
        <v/>
      </c>
      <c r="C84" s="15" t="str">
        <f t="shared" si="32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>
      <c r="A85" s="1" t="str">
        <f>IF(A51="","",A51)</f>
        <v/>
      </c>
      <c r="B85" s="1" t="str">
        <f t="shared" si="32"/>
        <v/>
      </c>
      <c r="C85" s="14" t="str">
        <f t="shared" si="32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7">IF(OR(I$23="",$C85=""),"",I$26*(COS(I$27+$F86)-COS(I$27))+$D86)</f>
        <v/>
      </c>
      <c r="J85" s="2" t="str">
        <f t="shared" ref="J85" si="168">IF(OR(J$23="",$C85=""),"",J$26*(COS(J$27+$F86)-COS(J$27))+$D86)</f>
        <v/>
      </c>
      <c r="K85" s="2" t="str">
        <f t="shared" ref="K85" si="169">IF(OR(K$23="",$C85=""),"",K$26*(COS(K$27+$F86)-COS(K$27))+$D86)</f>
        <v/>
      </c>
      <c r="L85" s="2" t="str">
        <f t="shared" ref="L85" si="170">IF(OR(L$23="",$C85=""),"",L$26*(COS(L$27+$F86)-COS(L$27))+$D86)</f>
        <v/>
      </c>
      <c r="M85" s="2" t="str">
        <f t="shared" ref="M85" si="171">IF(OR(M$23="",$C85=""),"",M$26*(COS(M$27+$F86)-COS(M$27))+$D86)</f>
        <v/>
      </c>
      <c r="N85" s="2" t="str">
        <f t="shared" ref="N85" si="172">IF(OR(N$23="",$C85=""),"",N$26*(COS(N$27+$F86)-COS(N$27))+$D86)</f>
        <v/>
      </c>
      <c r="O85" s="2" t="str">
        <f t="shared" ref="O85" si="173">IF(OR(O$23="",$C85=""),"",O$26*(COS(O$27+$F86)-COS(O$27))+$D86)</f>
        <v/>
      </c>
      <c r="P85" s="2" t="str">
        <f t="shared" ref="P85" si="174">IF(OR(P$23="",$C85=""),"",P$26*(COS(P$27+$F86)-COS(P$27))+$D86)</f>
        <v/>
      </c>
      <c r="Q85" s="2" t="str">
        <f t="shared" ref="Q85" si="175">IF(OR(Q$23="",$C85=""),"",Q$26*(COS(Q$27+$F86)-COS(Q$27))+$D86)</f>
        <v/>
      </c>
      <c r="R85" s="2" t="str">
        <f t="shared" ref="R85" si="176">IF(OR(R$23="",$C85=""),"",R$26*(COS(R$27+$F86)-COS(R$27))+$D86)</f>
        <v/>
      </c>
      <c r="S85" s="2" t="str">
        <f t="shared" ref="S85" si="177">IF(OR(S$23="",$C85=""),"",S$26*(COS(S$27+$F86)-COS(S$27))+$D86)</f>
        <v/>
      </c>
      <c r="T85" s="2">
        <f>MIN(H85:S85)</f>
        <v>0</v>
      </c>
      <c r="U85" s="2">
        <f>MAX(H85:S85)</f>
        <v>0</v>
      </c>
      <c r="V85" s="2">
        <f>MAX(-T85,U85)</f>
        <v>0</v>
      </c>
    </row>
    <row r="86" spans="1:22">
      <c r="B86" s="1" t="str">
        <f t="shared" si="32"/>
        <v/>
      </c>
      <c r="C86" s="14" t="str">
        <f t="shared" si="32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8">IF(OR(I$23="",$C85=""),"",I$26*(SIN(I$27+$F86)-SIN(I$27))+$E86)</f>
        <v/>
      </c>
      <c r="J86" s="2" t="str">
        <f t="shared" ref="J86" si="179">IF(OR(J$23="",$C85=""),"",J$26*(SIN(J$27+$F86)-SIN(J$27))+$E86)</f>
        <v/>
      </c>
      <c r="K86" s="2" t="str">
        <f t="shared" ref="K86" si="180">IF(OR(K$23="",$C85=""),"",K$26*(SIN(K$27+$F86)-SIN(K$27))+$E86)</f>
        <v/>
      </c>
      <c r="L86" s="2" t="str">
        <f t="shared" ref="L86" si="181">IF(OR(L$23="",$C85=""),"",L$26*(SIN(L$27+$F86)-SIN(L$27))+$E86)</f>
        <v/>
      </c>
      <c r="M86" s="2" t="str">
        <f t="shared" ref="M86" si="182">IF(OR(M$23="",$C85=""),"",M$26*(SIN(M$27+$F86)-SIN(M$27))+$E86)</f>
        <v/>
      </c>
      <c r="N86" s="2" t="str">
        <f t="shared" ref="N86" si="183">IF(OR(N$23="",$C85=""),"",N$26*(SIN(N$27+$F86)-SIN(N$27))+$E86)</f>
        <v/>
      </c>
      <c r="O86" s="2" t="str">
        <f t="shared" ref="O86" si="184">IF(OR(O$23="",$C85=""),"",O$26*(SIN(O$27+$F86)-SIN(O$27))+$E86)</f>
        <v/>
      </c>
      <c r="P86" s="2" t="str">
        <f t="shared" ref="P86" si="185">IF(OR(P$23="",$C85=""),"",P$26*(SIN(P$27+$F86)-SIN(P$27))+$E86)</f>
        <v/>
      </c>
      <c r="Q86" s="2" t="str">
        <f t="shared" ref="Q86" si="186">IF(OR(Q$23="",$C85=""),"",Q$26*(SIN(Q$27+$F86)-SIN(Q$27))+$E86)</f>
        <v/>
      </c>
      <c r="R86" s="2" t="str">
        <f t="shared" ref="R86" si="187">IF(OR(R$23="",$C85=""),"",R$26*(SIN(R$27+$F86)-SIN(R$27))+$E86)</f>
        <v/>
      </c>
      <c r="S86" s="2" t="str">
        <f t="shared" ref="S86" si="188">IF(OR(S$23="",$C85=""),"",S$26*(SIN(S$27+$F86)-SIN(S$27))+$E86)</f>
        <v/>
      </c>
      <c r="T86" s="2">
        <f>MIN(H86:S86)</f>
        <v>0</v>
      </c>
      <c r="U86" s="2">
        <f>MAX(H86:S86)</f>
        <v>0</v>
      </c>
      <c r="V86" s="2">
        <f>MAX(-T86,U86)</f>
        <v>0</v>
      </c>
    </row>
    <row r="87" spans="1:22">
      <c r="A87" s="13"/>
      <c r="B87" s="13" t="str">
        <f t="shared" si="32"/>
        <v/>
      </c>
      <c r="C87" s="15" t="str">
        <f t="shared" si="32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>
      <c r="A88" s="1" t="str">
        <f>IF(A54="","",A54)</f>
        <v/>
      </c>
      <c r="B88" s="1" t="str">
        <f t="shared" si="32"/>
        <v/>
      </c>
      <c r="C88" s="14" t="str">
        <f t="shared" si="32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9">IF(OR(I$23="",$C88=""),"",I$26*(COS(I$27+$F89)-COS(I$27))+$D89)</f>
        <v/>
      </c>
      <c r="J88" s="2" t="str">
        <f t="shared" ref="J88" si="190">IF(OR(J$23="",$C88=""),"",J$26*(COS(J$27+$F89)-COS(J$27))+$D89)</f>
        <v/>
      </c>
      <c r="K88" s="2" t="str">
        <f t="shared" ref="K88" si="191">IF(OR(K$23="",$C88=""),"",K$26*(COS(K$27+$F89)-COS(K$27))+$D89)</f>
        <v/>
      </c>
      <c r="L88" s="2" t="str">
        <f t="shared" ref="L88" si="192">IF(OR(L$23="",$C88=""),"",L$26*(COS(L$27+$F89)-COS(L$27))+$D89)</f>
        <v/>
      </c>
      <c r="M88" s="2" t="str">
        <f t="shared" ref="M88" si="193">IF(OR(M$23="",$C88=""),"",M$26*(COS(M$27+$F89)-COS(M$27))+$D89)</f>
        <v/>
      </c>
      <c r="N88" s="2" t="str">
        <f t="shared" ref="N88" si="194">IF(OR(N$23="",$C88=""),"",N$26*(COS(N$27+$F89)-COS(N$27))+$D89)</f>
        <v/>
      </c>
      <c r="O88" s="2" t="str">
        <f t="shared" ref="O88" si="195">IF(OR(O$23="",$C88=""),"",O$26*(COS(O$27+$F89)-COS(O$27))+$D89)</f>
        <v/>
      </c>
      <c r="P88" s="2" t="str">
        <f t="shared" ref="P88" si="196">IF(OR(P$23="",$C88=""),"",P$26*(COS(P$27+$F89)-COS(P$27))+$D89)</f>
        <v/>
      </c>
      <c r="Q88" s="2" t="str">
        <f t="shared" ref="Q88" si="197">IF(OR(Q$23="",$C88=""),"",Q$26*(COS(Q$27+$F89)-COS(Q$27))+$D89)</f>
        <v/>
      </c>
      <c r="R88" s="2" t="str">
        <f t="shared" ref="R88" si="198">IF(OR(R$23="",$C88=""),"",R$26*(COS(R$27+$F89)-COS(R$27))+$D89)</f>
        <v/>
      </c>
      <c r="S88" s="2" t="str">
        <f t="shared" ref="S88" si="199">IF(OR(S$23="",$C88=""),"",S$26*(COS(S$27+$F89)-COS(S$27))+$D89)</f>
        <v/>
      </c>
      <c r="T88" s="2">
        <f>MIN(H88:S88)</f>
        <v>0</v>
      </c>
      <c r="U88" s="2">
        <f>MAX(H88:S88)</f>
        <v>0</v>
      </c>
      <c r="V88" s="2">
        <f>MAX(-T88,U88)</f>
        <v>0</v>
      </c>
    </row>
    <row r="89" spans="1:22">
      <c r="B89" s="1" t="str">
        <f t="shared" si="32"/>
        <v/>
      </c>
      <c r="C89" s="14" t="str">
        <f t="shared" si="32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200">IF(OR(I$23="",$C88=""),"",I$26*(SIN(I$27+$F89)-SIN(I$27))+$E89)</f>
        <v/>
      </c>
      <c r="J89" s="2" t="str">
        <f t="shared" ref="J89" si="201">IF(OR(J$23="",$C88=""),"",J$26*(SIN(J$27+$F89)-SIN(J$27))+$E89)</f>
        <v/>
      </c>
      <c r="K89" s="2" t="str">
        <f t="shared" ref="K89" si="202">IF(OR(K$23="",$C88=""),"",K$26*(SIN(K$27+$F89)-SIN(K$27))+$E89)</f>
        <v/>
      </c>
      <c r="L89" s="2" t="str">
        <f t="shared" ref="L89" si="203">IF(OR(L$23="",$C88=""),"",L$26*(SIN(L$27+$F89)-SIN(L$27))+$E89)</f>
        <v/>
      </c>
      <c r="M89" s="2" t="str">
        <f t="shared" ref="M89" si="204">IF(OR(M$23="",$C88=""),"",M$26*(SIN(M$27+$F89)-SIN(M$27))+$E89)</f>
        <v/>
      </c>
      <c r="N89" s="2" t="str">
        <f t="shared" ref="N89" si="205">IF(OR(N$23="",$C88=""),"",N$26*(SIN(N$27+$F89)-SIN(N$27))+$E89)</f>
        <v/>
      </c>
      <c r="O89" s="2" t="str">
        <f t="shared" ref="O89" si="206">IF(OR(O$23="",$C88=""),"",O$26*(SIN(O$27+$F89)-SIN(O$27))+$E89)</f>
        <v/>
      </c>
      <c r="P89" s="2" t="str">
        <f t="shared" ref="P89" si="207">IF(OR(P$23="",$C88=""),"",P$26*(SIN(P$27+$F89)-SIN(P$27))+$E89)</f>
        <v/>
      </c>
      <c r="Q89" s="2" t="str">
        <f t="shared" ref="Q89" si="208">IF(OR(Q$23="",$C88=""),"",Q$26*(SIN(Q$27+$F89)-SIN(Q$27))+$E89)</f>
        <v/>
      </c>
      <c r="R89" s="2" t="str">
        <f t="shared" ref="R89" si="209">IF(OR(R$23="",$C88=""),"",R$26*(SIN(R$27+$F89)-SIN(R$27))+$E89)</f>
        <v/>
      </c>
      <c r="S89" s="2" t="str">
        <f t="shared" ref="S89" si="210">IF(OR(S$23="",$C88=""),"",S$26*(SIN(S$27+$F89)-SIN(S$27))+$E89)</f>
        <v/>
      </c>
      <c r="T89" s="2">
        <f>MIN(H89:S89)</f>
        <v>0</v>
      </c>
      <c r="U89" s="2">
        <f>MAX(H89:S89)</f>
        <v>0</v>
      </c>
      <c r="V89" s="2">
        <f>MAX(-T89,U89)</f>
        <v>0</v>
      </c>
    </row>
    <row r="90" spans="1:22">
      <c r="A90" s="13"/>
      <c r="B90" s="13" t="str">
        <f t="shared" si="32"/>
        <v/>
      </c>
      <c r="C90" s="15" t="str">
        <f t="shared" si="32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>
      <c r="A91" s="1" t="str">
        <f>IF(A57="","",A57)</f>
        <v/>
      </c>
      <c r="B91" s="1" t="str">
        <f t="shared" si="32"/>
        <v/>
      </c>
      <c r="C91" s="14" t="str">
        <f t="shared" si="32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11">IF(OR(I$23="",$C91=""),"",I$26*(COS(I$27+$F92)-COS(I$27))+$D92)</f>
        <v/>
      </c>
      <c r="J91" s="2" t="str">
        <f t="shared" ref="J91" si="212">IF(OR(J$23="",$C91=""),"",J$26*(COS(J$27+$F92)-COS(J$27))+$D92)</f>
        <v/>
      </c>
      <c r="K91" s="2" t="str">
        <f t="shared" ref="K91" si="213">IF(OR(K$23="",$C91=""),"",K$26*(COS(K$27+$F92)-COS(K$27))+$D92)</f>
        <v/>
      </c>
      <c r="L91" s="2" t="str">
        <f t="shared" ref="L91" si="214">IF(OR(L$23="",$C91=""),"",L$26*(COS(L$27+$F92)-COS(L$27))+$D92)</f>
        <v/>
      </c>
      <c r="M91" s="2" t="str">
        <f t="shared" ref="M91" si="215">IF(OR(M$23="",$C91=""),"",M$26*(COS(M$27+$F92)-COS(M$27))+$D92)</f>
        <v/>
      </c>
      <c r="N91" s="2" t="str">
        <f t="shared" ref="N91" si="216">IF(OR(N$23="",$C91=""),"",N$26*(COS(N$27+$F92)-COS(N$27))+$D92)</f>
        <v/>
      </c>
      <c r="O91" s="2" t="str">
        <f t="shared" ref="O91" si="217">IF(OR(O$23="",$C91=""),"",O$26*(COS(O$27+$F92)-COS(O$27))+$D92)</f>
        <v/>
      </c>
      <c r="P91" s="2" t="str">
        <f t="shared" ref="P91" si="218">IF(OR(P$23="",$C91=""),"",P$26*(COS(P$27+$F92)-COS(P$27))+$D92)</f>
        <v/>
      </c>
      <c r="Q91" s="2" t="str">
        <f t="shared" ref="Q91" si="219">IF(OR(Q$23="",$C91=""),"",Q$26*(COS(Q$27+$F92)-COS(Q$27))+$D92)</f>
        <v/>
      </c>
      <c r="R91" s="2" t="str">
        <f t="shared" ref="R91" si="220">IF(OR(R$23="",$C91=""),"",R$26*(COS(R$27+$F92)-COS(R$27))+$D92)</f>
        <v/>
      </c>
      <c r="S91" s="2" t="str">
        <f t="shared" ref="S91" si="221">IF(OR(S$23="",$C91=""),"",S$26*(COS(S$27+$F92)-COS(S$27))+$D92)</f>
        <v/>
      </c>
      <c r="T91" s="2">
        <f>MIN(H91:S91)</f>
        <v>0</v>
      </c>
      <c r="U91" s="2">
        <f>MAX(H91:S91)</f>
        <v>0</v>
      </c>
      <c r="V91" s="2">
        <f>MAX(-T91,U91)</f>
        <v>0</v>
      </c>
    </row>
    <row r="92" spans="1:22">
      <c r="B92" s="1" t="str">
        <f t="shared" si="32"/>
        <v/>
      </c>
      <c r="C92" s="14" t="str">
        <f t="shared" si="32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2">IF(OR(I$23="",$C91=""),"",I$26*(SIN(I$27+$F92)-SIN(I$27))+$E92)</f>
        <v/>
      </c>
      <c r="J92" s="2" t="str">
        <f t="shared" ref="J92" si="223">IF(OR(J$23="",$C91=""),"",J$26*(SIN(J$27+$F92)-SIN(J$27))+$E92)</f>
        <v/>
      </c>
      <c r="K92" s="2" t="str">
        <f t="shared" ref="K92" si="224">IF(OR(K$23="",$C91=""),"",K$26*(SIN(K$27+$F92)-SIN(K$27))+$E92)</f>
        <v/>
      </c>
      <c r="L92" s="2" t="str">
        <f t="shared" ref="L92" si="225">IF(OR(L$23="",$C91=""),"",L$26*(SIN(L$27+$F92)-SIN(L$27))+$E92)</f>
        <v/>
      </c>
      <c r="M92" s="2" t="str">
        <f t="shared" ref="M92" si="226">IF(OR(M$23="",$C91=""),"",M$26*(SIN(M$27+$F92)-SIN(M$27))+$E92)</f>
        <v/>
      </c>
      <c r="N92" s="2" t="str">
        <f t="shared" ref="N92" si="227">IF(OR(N$23="",$C91=""),"",N$26*(SIN(N$27+$F92)-SIN(N$27))+$E92)</f>
        <v/>
      </c>
      <c r="O92" s="2" t="str">
        <f t="shared" ref="O92" si="228">IF(OR(O$23="",$C91=""),"",O$26*(SIN(O$27+$F92)-SIN(O$27))+$E92)</f>
        <v/>
      </c>
      <c r="P92" s="2" t="str">
        <f t="shared" ref="P92" si="229">IF(OR(P$23="",$C91=""),"",P$26*(SIN(P$27+$F92)-SIN(P$27))+$E92)</f>
        <v/>
      </c>
      <c r="Q92" s="2" t="str">
        <f t="shared" ref="Q92" si="230">IF(OR(Q$23="",$C91=""),"",Q$26*(SIN(Q$27+$F92)-SIN(Q$27))+$E92)</f>
        <v/>
      </c>
      <c r="R92" s="2" t="str">
        <f t="shared" ref="R92" si="231">IF(OR(R$23="",$C91=""),"",R$26*(SIN(R$27+$F92)-SIN(R$27))+$E92)</f>
        <v/>
      </c>
      <c r="S92" s="2" t="str">
        <f t="shared" ref="S92" si="232">IF(OR(S$23="",$C91=""),"",S$26*(SIN(S$27+$F92)-SIN(S$27))+$E92)</f>
        <v/>
      </c>
      <c r="T92" s="2">
        <f>MIN(H92:S92)</f>
        <v>0</v>
      </c>
      <c r="U92" s="2">
        <f>MAX(H92:S92)</f>
        <v>0</v>
      </c>
      <c r="V92" s="2">
        <f>MAX(-T92,U92)</f>
        <v>0</v>
      </c>
    </row>
    <row r="93" spans="1:22">
      <c r="A93" s="13"/>
      <c r="B93" s="13" t="str">
        <f t="shared" si="32"/>
        <v/>
      </c>
      <c r="C93" s="15" t="str">
        <f t="shared" si="32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>
      <c r="A96" s="10" t="s">
        <v>57</v>
      </c>
      <c r="C96" s="3">
        <f>SQRT((C98-B98)^2+(C99-B99)^2)</f>
        <v>22.8</v>
      </c>
    </row>
    <row r="97" spans="1:20">
      <c r="B97" s="1">
        <f>Modi!B57</f>
        <v>1</v>
      </c>
      <c r="C97" s="1">
        <f>Modi!C57</f>
        <v>2</v>
      </c>
      <c r="D97" s="1">
        <f>Modi!D57</f>
        <v>3</v>
      </c>
      <c r="E97" s="1">
        <f>IF(Modi!D57=Modi!$B$54,1,Modi!E57)</f>
        <v>4</v>
      </c>
      <c r="F97" s="1">
        <f>IF(Modi!E57=Modi!$B$54,1,Modi!F57)</f>
        <v>5</v>
      </c>
      <c r="G97" s="1">
        <f>IF(Modi!F57=Modi!$B$54,1,Modi!G57)</f>
        <v>6</v>
      </c>
      <c r="H97" s="1">
        <f>IF(Modi!H57="",1,Modi!H57)</f>
        <v>1</v>
      </c>
      <c r="I97" s="1">
        <f>IF(Modi!I57="",1,Modi!I57)</f>
        <v>1</v>
      </c>
      <c r="J97" s="1">
        <f>IF(Modi!J57="",1,Modi!J57)</f>
        <v>1</v>
      </c>
      <c r="K97" s="1">
        <f>IF(Modi!K57="",1,Modi!K57)</f>
        <v>1</v>
      </c>
      <c r="L97" s="1">
        <f>IF(Modi!L57="",1,Modi!L57)</f>
        <v>1</v>
      </c>
      <c r="M97" s="1">
        <f>IF(Modi!M57="",1,Modi!M57)</f>
        <v>1</v>
      </c>
      <c r="N97" s="1">
        <f>IF(Modi!N7="",1,Modi!N7)</f>
        <v>1</v>
      </c>
    </row>
    <row r="98" spans="1:20">
      <c r="A98" s="6" t="s">
        <v>7</v>
      </c>
      <c r="B98" s="3">
        <f>IF($B64="",0,Modi!B$58+H64)</f>
        <v>1.4666182547919071</v>
      </c>
      <c r="C98" s="3">
        <f>IF($B64="",0,Modi!C$58+I64)</f>
        <v>23.943171845302412</v>
      </c>
      <c r="D98" s="3">
        <f>IF($B64="",0,Modi!D$58+J64)</f>
        <v>22.449369945062053</v>
      </c>
      <c r="E98" s="3">
        <f>IF(Modi!E$57="",$B98,IF($B64="",0,IF(Modi!E$57="","",Modi!E$58+K64)))</f>
        <v>8.6479773894854279</v>
      </c>
      <c r="F98" s="3">
        <f>IF(Modi!F$57="",$B98,IF($B64="",0,IF(Modi!F$57="","",Modi!F$58+L64)))</f>
        <v>7.4562927274959261</v>
      </c>
      <c r="G98" s="3">
        <f>IF(Modi!G$57="",$B98,IF($B64="",0,IF(Modi!G$57="","",Modi!G$58+M64)))</f>
        <v>-1.2188683074379547</v>
      </c>
      <c r="H98" s="3">
        <f>IF(Modi!H$57="",$B98,IF($B64="",0,IF(Modi!H$57="","",Modi!H$58+N64)))</f>
        <v>1.4666182547919071</v>
      </c>
      <c r="I98" s="3">
        <f>IF(Modi!I$57="",$B98,IF($B64="",0,IF(Modi!I$57="","",Modi!I$58+O64)))</f>
        <v>1.4666182547919071</v>
      </c>
      <c r="J98" s="3">
        <f>IF(Modi!J$57="",$B98,IF($B64="",0,IF(Modi!J$57="","",Modi!J$58+P64)))</f>
        <v>1.4666182547919071</v>
      </c>
      <c r="K98" s="3">
        <f>IF(Modi!K$57="",$B98,IF($B64="",0,IF(Modi!K$57="","",Modi!K$58+Q64)))</f>
        <v>1.4666182547919071</v>
      </c>
      <c r="L98" s="3">
        <f>IF(Modi!L$57="",$B98,IF($B64="",0,IF(Modi!L$57="","",Modi!L$58+R64)))</f>
        <v>1.4666182547919071</v>
      </c>
      <c r="M98" s="3">
        <f>IF(Modi!M$57="",$B98,IF($B64="",0,IF(Modi!M$57="","",Modi!M$58+S64)))</f>
        <v>1.4666182547919071</v>
      </c>
      <c r="N98" s="3">
        <f>IF(Modi!N$57="",$B98,IF($B64="",0,IF(Modi!N$57="","",Modi!N$58+T64)))</f>
        <v>1.4666182547919071</v>
      </c>
      <c r="P98" s="3">
        <f>IF($B64="",0,$P$128+$D65)</f>
        <v>9.3333380952537528</v>
      </c>
      <c r="Q98" s="3">
        <f>IF($B64="",0,$Q$128+$D65)</f>
        <v>10.701338095253751</v>
      </c>
      <c r="R98" s="3"/>
      <c r="S98" s="3">
        <f>IF($B64="",0,$S$128+$D65)</f>
        <v>10.017338095253752</v>
      </c>
      <c r="T98" s="3">
        <f>IF($B64="",0,$T$128+$D65)</f>
        <v>10.017338095253752</v>
      </c>
    </row>
    <row r="99" spans="1:20">
      <c r="A99" s="6" t="s">
        <v>8</v>
      </c>
      <c r="B99" s="3">
        <f>IF($B65="",0,Modi!B$59+H65)</f>
        <v>0.62972248121757168</v>
      </c>
      <c r="C99" s="3">
        <f>IF($B65="",0,Modi!C$59+I65)</f>
        <v>4.4565408323951266</v>
      </c>
      <c r="D99" s="3">
        <f>IF($B65="",0,Modi!D$59+J65)</f>
        <v>13.230283242725982</v>
      </c>
      <c r="E99" s="3">
        <f>IF(Modi!E$57="",$B99,IF($B65="",0,IF(Modi!E$57="","",Modi!E$59+K65)))</f>
        <v>10.880482500774853</v>
      </c>
      <c r="F99" s="3">
        <f>IF(Modi!F$57="",$B99,IF($B65="",0,IF(Modi!F$57="","",Modi!F$59+L65)))</f>
        <v>17.879760153960142</v>
      </c>
      <c r="G99" s="3">
        <f>IF(Modi!G$57="",$B99,IF($B65="",0,IF(Modi!G$57="","",Modi!G$59+M65)))</f>
        <v>16.402742544733719</v>
      </c>
      <c r="H99" s="3">
        <f>IF(Modi!H$57="",$B99,IF($B65="",0,IF(Modi!H$57="","",Modi!H$59+N65)))</f>
        <v>0.62972248121757168</v>
      </c>
      <c r="I99" s="3">
        <f>IF(Modi!I$57="",$B99,IF($B65="",0,IF(Modi!I$57="","",Modi!I$59+O65)))</f>
        <v>0.62972248121757168</v>
      </c>
      <c r="J99" s="3">
        <f>IF(Modi!J$57="",$B99,IF($B65="",0,IF(Modi!J$57="","",Modi!J$59+P65)))</f>
        <v>0.62972248121757168</v>
      </c>
      <c r="K99" s="3">
        <f>IF(Modi!K$57="",$B99,IF($B65="",0,IF(Modi!K$57="","",Modi!K$59+Q65)))</f>
        <v>0.62972248121757168</v>
      </c>
      <c r="L99" s="3">
        <f>IF(Modi!L$57="",$B99,IF($B65="",0,IF(Modi!L$57="","",Modi!L$59+R65)))</f>
        <v>0.62972248121757168</v>
      </c>
      <c r="M99" s="3">
        <f>IF(Modi!M$57="",$B99,IF($B65="",0,IF(Modi!M$57="","",Modi!M$59+S65)))</f>
        <v>0.62972248121757168</v>
      </c>
      <c r="N99" s="3">
        <f>IF(Modi!N$57="",$B99,IF($B65="",0,IF(Modi!N$57="","",Modi!N$59+T65)))</f>
        <v>0.62972248121757168</v>
      </c>
      <c r="P99" s="3">
        <f>IF($B65="",0,$P$129+$E65)</f>
        <v>8.5100381732215542</v>
      </c>
      <c r="Q99" s="3">
        <f>IF($B65="",0,$Q$129+$E65)</f>
        <v>8.5100381732215542</v>
      </c>
      <c r="R99" s="3"/>
      <c r="S99" s="3">
        <f>IF($B65="",0,$S$129+$E65)</f>
        <v>7.826038173221554</v>
      </c>
      <c r="T99" s="3">
        <f>IF($B65="",0,$T$129+$E65)</f>
        <v>9.1940381732215535</v>
      </c>
    </row>
    <row r="101" spans="1:20">
      <c r="A101" s="6" t="s">
        <v>7</v>
      </c>
      <c r="B101" s="3">
        <f>IF($B67="",0,Modi!B$58+H67)</f>
        <v>1.2872804040962271</v>
      </c>
      <c r="C101" s="3">
        <f>IF($B67="",0,Modi!C$58+I67)</f>
        <v>23.83654458494091</v>
      </c>
      <c r="D101" s="3">
        <f>IF($B67="",0,Modi!D$58+J67)</f>
        <v>22.520264010562201</v>
      </c>
      <c r="E101" s="3">
        <f>IF(Modi!E$57="",$B101,IF($B67="",0,IF(Modi!E$57="","",Modi!E$58+K67)))</f>
        <v>8.6742246012716038</v>
      </c>
      <c r="F101" s="3">
        <f>IF(Modi!F$57="",$B101,IF($B67="",0,IF(Modi!F$57="","",Modi!F$58+L67)))</f>
        <v>7.6241580756436438</v>
      </c>
      <c r="G101" s="3">
        <f>IF(Modi!G$57="",$B101,IF($B67="",0,IF(Modi!G$57="","",Modi!G$58+M67)))</f>
        <v>-1.0790666959104485</v>
      </c>
      <c r="H101" s="3">
        <f>IF(Modi!H$57="",$B101,IF($B67="",0,IF(Modi!H$57="","",Modi!H$58+N67)))</f>
        <v>1.2872804040962271</v>
      </c>
      <c r="I101" s="3">
        <f>IF(Modi!I$57="",$B101,IF($B67="",0,IF(Modi!I$57="","",Modi!I$58+O67)))</f>
        <v>1.2872804040962271</v>
      </c>
      <c r="J101" s="3">
        <f>IF(Modi!J$57="",$B101,IF($B67="",0,IF(Modi!J$57="","",Modi!J$58+P67)))</f>
        <v>1.2872804040962271</v>
      </c>
      <c r="K101" s="3">
        <f>IF(Modi!K$57="",$B101,IF($B67="",0,IF(Modi!K$57="","",Modi!K$58+Q67)))</f>
        <v>1.2872804040962271</v>
      </c>
      <c r="L101" s="3">
        <f>IF(Modi!L$57="",$B101,IF($B67="",0,IF(Modi!L$57="","",Modi!L$58+R67)))</f>
        <v>1.2872804040962271</v>
      </c>
      <c r="M101" s="3">
        <f>IF(Modi!M$57="",$B101,IF($B67="",0,IF(Modi!M$57="","",Modi!M$58+S67)))</f>
        <v>1.2872804040962271</v>
      </c>
      <c r="N101" s="3">
        <f>IF(Modi!N$57="",$B101,IF($B67="",0,IF(Modi!N$57="","",Modi!N$58+T67)))</f>
        <v>1.2872804040962271</v>
      </c>
      <c r="P101" s="3">
        <f>IF($B67="",0,$P$128+$D68)</f>
        <v>9.3114264855867628</v>
      </c>
      <c r="Q101" s="3">
        <f>IF($B67="",0,$Q$128+$D68)</f>
        <v>10.679426485586761</v>
      </c>
      <c r="R101" s="3"/>
      <c r="S101" s="3">
        <f>IF($B67="",0,$S$128+$D68)</f>
        <v>9.9954264855867621</v>
      </c>
      <c r="T101" s="3">
        <f>IF($B67="",0,$T$128+$D68)</f>
        <v>9.9954264855867621</v>
      </c>
    </row>
    <row r="102" spans="1:20">
      <c r="A102" s="6" t="s">
        <v>8</v>
      </c>
      <c r="B102" s="3">
        <f>IF($B68="",0,Modi!B$59+H68)</f>
        <v>0.55580893670691123</v>
      </c>
      <c r="C102" s="3">
        <f>IF($B68="",0,Modi!C$59+I68)</f>
        <v>3.9278535542164215</v>
      </c>
      <c r="D102" s="3">
        <f>IF($B68="",0,Modi!D$59+J68)</f>
        <v>12.729978607265444</v>
      </c>
      <c r="E102" s="3">
        <f>IF(Modi!E$57="",$B102,IF($B68="",0,IF(Modi!E$57="","",Modi!E$59+K68)))</f>
        <v>10.659424894759605</v>
      </c>
      <c r="F102" s="3">
        <f>IF(Modi!F$57="",$B102,IF($B68="",0,IF(Modi!F$57="","",Modi!F$59+L68)))</f>
        <v>17.681344880899836</v>
      </c>
      <c r="G102" s="3">
        <f>IF(Modi!G$57="",$B102,IF($B68="",0,IF(Modi!G$57="","",Modi!G$59+M68)))</f>
        <v>16.379853975896165</v>
      </c>
      <c r="H102" s="3">
        <f>IF(Modi!H$57="",$B102,IF($B68="",0,IF(Modi!H$57="","",Modi!H$59+N68)))</f>
        <v>0.55580893670691123</v>
      </c>
      <c r="I102" s="3">
        <f>IF(Modi!I$57="",$B102,IF($B68="",0,IF(Modi!I$57="","",Modi!I$59+O68)))</f>
        <v>0.55580893670691123</v>
      </c>
      <c r="J102" s="3">
        <f>IF(Modi!J$57="",$B102,IF($B68="",0,IF(Modi!J$57="","",Modi!J$59+P68)))</f>
        <v>0.55580893670691123</v>
      </c>
      <c r="K102" s="3">
        <f>IF(Modi!K$57="",$B102,IF($B68="",0,IF(Modi!K$57="","",Modi!K$59+Q68)))</f>
        <v>0.55580893670691123</v>
      </c>
      <c r="L102" s="3">
        <f>IF(Modi!L$57="",$B102,IF($B68="",0,IF(Modi!L$57="","",Modi!L$59+R68)))</f>
        <v>0.55580893670691123</v>
      </c>
      <c r="M102" s="3">
        <f>IF(Modi!M$57="",$B102,IF($B68="",0,IF(Modi!M$57="","",Modi!M$59+S68)))</f>
        <v>0.55580893670691123</v>
      </c>
      <c r="N102" s="3">
        <f>IF(Modi!N$57="",$B102,IF($B68="",0,IF(Modi!N$57="","",Modi!N$59+T68)))</f>
        <v>0.55580893670691123</v>
      </c>
      <c r="P102" s="3">
        <f>IF($B68="",0,$P$129+$E68)</f>
        <v>8.2618051097615712</v>
      </c>
      <c r="Q102" s="3">
        <f>IF($B68="",0,$Q$129+$E68)</f>
        <v>8.2618051097615712</v>
      </c>
      <c r="R102" s="3"/>
      <c r="S102" s="3">
        <f>IF($B68="",0,$S$129+$E68)</f>
        <v>7.577805109761572</v>
      </c>
      <c r="T102" s="3">
        <f>IF($B68="",0,$T$129+$E68)</f>
        <v>8.9458051097615723</v>
      </c>
    </row>
    <row r="104" spans="1:20">
      <c r="A104" s="6" t="s">
        <v>7</v>
      </c>
      <c r="B104" s="3">
        <f>IF($B70="",0,Modi!B$58+H70)</f>
        <v>1.0175361639934282</v>
      </c>
      <c r="C104" s="3">
        <f>IF($B70="",0,Modi!C$58+I70)</f>
        <v>23.658534595780967</v>
      </c>
      <c r="D104" s="3">
        <f>IF($B70="",0,Modi!D$58+J70)</f>
        <v>22.609282619015605</v>
      </c>
      <c r="E104" s="3">
        <f>IF(Modi!E$57="",$B104,IF($B70="",0,IF(Modi!E$57="","",Modi!E$58+K70)))</f>
        <v>8.7069151609004489</v>
      </c>
      <c r="F104" s="3">
        <f>IF(Modi!F$57="",$B104,IF($B70="",0,IF(Modi!F$57="","",Modi!F$58+L70)))</f>
        <v>7.8698714490988646</v>
      </c>
      <c r="G104" s="3">
        <f>IF(Modi!G$57="",$B104,IF($B70="",0,IF(Modi!G$57="","",Modi!G$58+M70)))</f>
        <v>-0.86875952457352124</v>
      </c>
      <c r="H104" s="3">
        <f>IF(Modi!H$57="",$B104,IF($B70="",0,IF(Modi!H$57="","",Modi!H$58+N70)))</f>
        <v>1.0175361639934282</v>
      </c>
      <c r="I104" s="3">
        <f>IF(Modi!I$57="",$B104,IF($B70="",0,IF(Modi!I$57="","",Modi!I$58+O70)))</f>
        <v>1.0175361639934282</v>
      </c>
      <c r="J104" s="3">
        <f>IF(Modi!J$57="",$B104,IF($B70="",0,IF(Modi!J$57="","",Modi!J$58+P70)))</f>
        <v>1.0175361639934282</v>
      </c>
      <c r="K104" s="3">
        <f>IF(Modi!K$57="",$B104,IF($B70="",0,IF(Modi!K$57="","",Modi!K$58+Q70)))</f>
        <v>1.0175361639934282</v>
      </c>
      <c r="L104" s="3">
        <f>IF(Modi!L$57="",$B104,IF($B70="",0,IF(Modi!L$57="","",Modi!L$58+R70)))</f>
        <v>1.0175361639934282</v>
      </c>
      <c r="M104" s="3">
        <f>IF(Modi!M$57="",$B104,IF($B70="",0,IF(Modi!M$57="","",Modi!M$58+S70)))</f>
        <v>1.0175361639934282</v>
      </c>
      <c r="N104" s="3">
        <f>IF(Modi!N$57="",$B104,IF($B70="",0,IF(Modi!N$57="","",Modi!N$58+T70)))</f>
        <v>1.0175361639934282</v>
      </c>
      <c r="P104" s="3">
        <f>IF($B70="",0,$P$128+$D71)</f>
        <v>9.2709397731836845</v>
      </c>
      <c r="Q104" s="3">
        <f>IF($B70="",0,$Q$128+$D71)</f>
        <v>10.638939773183683</v>
      </c>
      <c r="R104" s="3"/>
      <c r="S104" s="3">
        <f>IF($B70="",0,$S$128+$D71)</f>
        <v>9.9549397731836837</v>
      </c>
      <c r="T104" s="3">
        <f>IF($B70="",0,$T$128+$D71)</f>
        <v>9.9549397731836837</v>
      </c>
    </row>
    <row r="105" spans="1:20">
      <c r="A105" s="6" t="s">
        <v>8</v>
      </c>
      <c r="B105" s="3">
        <f>IF($B71="",0,Modi!B$59+H71)</f>
        <v>0.443127128316533</v>
      </c>
      <c r="C105" s="3">
        <f>IF($B71="",0,Modi!C$59+I71)</f>
        <v>3.1310984845244332</v>
      </c>
      <c r="D105" s="3">
        <f>IF($B71="",0,Modi!D$59+J71)</f>
        <v>11.969032082897641</v>
      </c>
      <c r="E105" s="3">
        <f>IF(Modi!E$57="",$B105,IF($B71="",0,IF(Modi!E$57="","",Modi!E$59+K71)))</f>
        <v>10.318523355401561</v>
      </c>
      <c r="F105" s="3">
        <f>IF(Modi!F$57="",$B105,IF($B71="",0,IF(Modi!F$57="","",Modi!F$59+L71)))</f>
        <v>17.369009709159961</v>
      </c>
      <c r="G105" s="3">
        <f>IF(Modi!G$57="",$B105,IF($B71="",0,IF(Modi!G$57="","",Modi!G$59+M71)))</f>
        <v>16.331547080448139</v>
      </c>
      <c r="H105" s="3">
        <f>IF(Modi!H$57="",$B105,IF($B71="",0,IF(Modi!H$57="","",Modi!H$59+N71)))</f>
        <v>0.443127128316533</v>
      </c>
      <c r="I105" s="3">
        <f>IF(Modi!I$57="",$B105,IF($B71="",0,IF(Modi!I$57="","",Modi!I$59+O71)))</f>
        <v>0.443127128316533</v>
      </c>
      <c r="J105" s="3">
        <f>IF(Modi!J$57="",$B105,IF($B71="",0,IF(Modi!J$57="","",Modi!J$59+P71)))</f>
        <v>0.443127128316533</v>
      </c>
      <c r="K105" s="3">
        <f>IF(Modi!K$57="",$B105,IF($B71="",0,IF(Modi!K$57="","",Modi!K$59+Q71)))</f>
        <v>0.443127128316533</v>
      </c>
      <c r="L105" s="3">
        <f>IF(Modi!L$57="",$B105,IF($B71="",0,IF(Modi!L$57="","",Modi!L$59+R71)))</f>
        <v>0.443127128316533</v>
      </c>
      <c r="M105" s="3">
        <f>IF(Modi!M$57="",$B105,IF($B71="",0,IF(Modi!M$57="","",Modi!M$59+S71)))</f>
        <v>0.443127128316533</v>
      </c>
      <c r="N105" s="3">
        <f>IF(Modi!N$57="",$B105,IF($B71="",0,IF(Modi!N$57="","",Modi!N$59+T71)))</f>
        <v>0.443127128316533</v>
      </c>
      <c r="P105" s="3">
        <f>IF($B71="",0,$P$129+$E71)</f>
        <v>7.8820115824632051</v>
      </c>
      <c r="Q105" s="3">
        <f>IF($B71="",0,$Q$129+$E71)</f>
        <v>7.8820115824632051</v>
      </c>
      <c r="R105" s="3"/>
      <c r="S105" s="3">
        <f>IF($B71="",0,$S$129+$E71)</f>
        <v>7.1980115824632049</v>
      </c>
      <c r="T105" s="3">
        <f>IF($B71="",0,$T$129+$E71)</f>
        <v>8.5660115824632044</v>
      </c>
    </row>
    <row r="107" spans="1:20">
      <c r="A107" s="6" t="s">
        <v>7</v>
      </c>
      <c r="B107" s="3">
        <f>IF($B73="",0,Modi!B$58+H73)</f>
        <v>0.67026185967691354</v>
      </c>
      <c r="C107" s="3">
        <f>IF($B73="",0,Modi!C$58+I73)</f>
        <v>23.400185212401048</v>
      </c>
      <c r="D107" s="3">
        <f>IF($B73="",0,Modi!D$58+J73)</f>
        <v>22.702932396369057</v>
      </c>
      <c r="E107" s="3">
        <f>IF(Modi!E$57="",$B107,IF($B73="",0,IF(Modi!E$57="","",Modi!E$58+K73)))</f>
        <v>8.7459619166261682</v>
      </c>
      <c r="F107" s="3">
        <f>IF(Modi!F$57="",$B107,IF($B73="",0,IF(Modi!F$57="","",Modi!F$58+L73)))</f>
        <v>8.1897265240613191</v>
      </c>
      <c r="G107" s="3">
        <f>IF(Modi!G$57="",$B107,IF($B73="",0,IF(Modi!G$57="","",Modi!G$58+M73)))</f>
        <v>-0.58322634891992542</v>
      </c>
      <c r="H107" s="3">
        <f>IF(Modi!H$57="",$B107,IF($B73="",0,IF(Modi!H$57="","",Modi!H$58+N73)))</f>
        <v>0.67026185967691354</v>
      </c>
      <c r="I107" s="3">
        <f>IF(Modi!I$57="",$B107,IF($B73="",0,IF(Modi!I$57="","",Modi!I$58+O73)))</f>
        <v>0.67026185967691354</v>
      </c>
      <c r="J107" s="3">
        <f>IF(Modi!J$57="",$B107,IF($B73="",0,IF(Modi!J$57="","",Modi!J$58+P73)))</f>
        <v>0.67026185967691354</v>
      </c>
      <c r="K107" s="3">
        <f>IF(Modi!K$57="",$B107,IF($B73="",0,IF(Modi!K$57="","",Modi!K$58+Q73)))</f>
        <v>0.67026185967691354</v>
      </c>
      <c r="L107" s="3">
        <f>IF(Modi!L$57="",$B107,IF($B73="",0,IF(Modi!L$57="","",Modi!L$58+R73)))</f>
        <v>0.67026185967691354</v>
      </c>
      <c r="M107" s="3">
        <f>IF(Modi!M$57="",$B107,IF($B73="",0,IF(Modi!M$57="","",Modi!M$58+S73)))</f>
        <v>0.67026185967691354</v>
      </c>
      <c r="N107" s="3">
        <f>IF(Modi!N$57="",$B107,IF($B73="",0,IF(Modi!N$57="","",Modi!N$58+T73)))</f>
        <v>0.67026185967691354</v>
      </c>
      <c r="P107" s="3">
        <f>IF($B73="",0,$P$128+$D74)</f>
        <v>9.2121874466976923</v>
      </c>
      <c r="Q107" s="3">
        <f>IF($B73="",0,$Q$128+$D74)</f>
        <v>10.580187446697691</v>
      </c>
      <c r="R107" s="3"/>
      <c r="S107" s="3">
        <f>IF($B73="",0,$S$128+$D74)</f>
        <v>9.8961874466976916</v>
      </c>
      <c r="T107" s="3">
        <f>IF($B73="",0,$T$128+$D74)</f>
        <v>9.8961874466976916</v>
      </c>
    </row>
    <row r="108" spans="1:20">
      <c r="A108" s="6" t="s">
        <v>8</v>
      </c>
      <c r="B108" s="3">
        <f>IF($B74="",0,Modi!B$59+H74)</f>
        <v>0.3010880409542972</v>
      </c>
      <c r="C108" s="3">
        <f>IF($B74="",0,Modi!C$59+I74)</f>
        <v>2.0873087382047943</v>
      </c>
      <c r="D108" s="3">
        <f>IF($B74="",0,Modi!D$59+J74)</f>
        <v>10.959954257469917</v>
      </c>
      <c r="E108" s="3">
        <f>IF(Modi!E$57="",$B108,IF($B74="",0,IF(Modi!E$57="","",Modi!E$59+K74)))</f>
        <v>9.8631520749476813</v>
      </c>
      <c r="F108" s="3">
        <f>IF(Modi!F$57="",$B108,IF($B74="",0,IF(Modi!F$57="","",Modi!F$59+L74)))</f>
        <v>16.941329961103001</v>
      </c>
      <c r="G108" s="3">
        <f>IF(Modi!G$57="",$B108,IF($B74="",0,IF(Modi!G$57="","",Modi!G$59+M74)))</f>
        <v>16.251911446374741</v>
      </c>
      <c r="H108" s="3">
        <f>IF(Modi!H$57="",$B108,IF($B74="",0,IF(Modi!H$57="","",Modi!H$59+N74)))</f>
        <v>0.3010880409542972</v>
      </c>
      <c r="I108" s="3">
        <f>IF(Modi!I$57="",$B108,IF($B74="",0,IF(Modi!I$57="","",Modi!I$59+O74)))</f>
        <v>0.3010880409542972</v>
      </c>
      <c r="J108" s="3">
        <f>IF(Modi!J$57="",$B108,IF($B74="",0,IF(Modi!J$57="","",Modi!J$59+P74)))</f>
        <v>0.3010880409542972</v>
      </c>
      <c r="K108" s="3">
        <f>IF(Modi!K$57="",$B108,IF($B74="",0,IF(Modi!K$57="","",Modi!K$59+Q74)))</f>
        <v>0.3010880409542972</v>
      </c>
      <c r="L108" s="3">
        <f>IF(Modi!L$57="",$B108,IF($B74="",0,IF(Modi!L$57="","",Modi!L$59+R74)))</f>
        <v>0.3010880409542972</v>
      </c>
      <c r="M108" s="3">
        <f>IF(Modi!M$57="",$B108,IF($B74="",0,IF(Modi!M$57="","",Modi!M$59+S74)))</f>
        <v>0.3010880409542972</v>
      </c>
      <c r="N108" s="3">
        <f>IF(Modi!N$57="",$B108,IF($B74="",0,IF(Modi!N$57="","",Modi!N$59+T74)))</f>
        <v>0.3010880409542972</v>
      </c>
      <c r="P108" s="3">
        <f>IF($B74="",0,$P$129+$E74)</f>
        <v>7.378974890746921</v>
      </c>
      <c r="Q108" s="3">
        <f>IF($B74="",0,$Q$129+$E74)</f>
        <v>7.378974890746921</v>
      </c>
      <c r="R108" s="3"/>
      <c r="S108" s="3">
        <f>IF($B74="",0,$S$129+$E74)</f>
        <v>6.6949748907469209</v>
      </c>
      <c r="T108" s="3">
        <f>IF($B74="",0,$T$129+$E74)</f>
        <v>8.0629748907469221</v>
      </c>
    </row>
    <row r="110" spans="1:20">
      <c r="A110" s="6" t="s">
        <v>7</v>
      </c>
      <c r="B110" s="3">
        <f>IF($B76="",0,Modi!B$58+H76)</f>
        <v>0.29547765831472972</v>
      </c>
      <c r="C110" s="3">
        <f>IF($B76="",0,Modi!C$58+I76)</f>
        <v>23.081984346842759</v>
      </c>
      <c r="D110" s="3">
        <f>IF($B76="",0,Modi!D$58+J76)</f>
        <v>22.775835527413474</v>
      </c>
      <c r="E110" s="3">
        <f>IF(Modi!E$57="",$B110,IF($B76="",0,IF(Modi!E$57="","",Modi!E$58+K76)))</f>
        <v>8.7841208941067883</v>
      </c>
      <c r="F110" s="3">
        <f>IF(Modi!F$57="",$B110,IF($B76="",0,IF(Modi!F$57="","",Modi!F$58+L76)))</f>
        <v>8.5398898134384797</v>
      </c>
      <c r="G110" s="3">
        <f>IF(Modi!G$57="",$B110,IF($B76="",0,IF(Modi!G$57="","",Modi!G$58+M76)))</f>
        <v>-0.25490224178286736</v>
      </c>
      <c r="H110" s="3">
        <f>IF(Modi!H$57="",$B110,IF($B76="",0,IF(Modi!H$57="","",Modi!H$58+N76)))</f>
        <v>0.29547765831472972</v>
      </c>
      <c r="I110" s="3">
        <f>IF(Modi!I$57="",$B110,IF($B76="",0,IF(Modi!I$57="","",Modi!I$58+O76)))</f>
        <v>0.29547765831472972</v>
      </c>
      <c r="J110" s="3">
        <f>IF(Modi!J$57="",$B110,IF($B76="",0,IF(Modi!J$57="","",Modi!J$58+P76)))</f>
        <v>0.29547765831472972</v>
      </c>
      <c r="K110" s="3">
        <f>IF(Modi!K$57="",$B110,IF($B76="",0,IF(Modi!K$57="","",Modi!K$58+Q76)))</f>
        <v>0.29547765831472972</v>
      </c>
      <c r="L110" s="3">
        <f>IF(Modi!L$57="",$B110,IF($B76="",0,IF(Modi!L$57="","",Modi!L$58+R76)))</f>
        <v>0.29547765831472972</v>
      </c>
      <c r="M110" s="3">
        <f>IF(Modi!M$57="",$B110,IF($B76="",0,IF(Modi!M$57="","",Modi!M$58+S76)))</f>
        <v>0.29547765831472972</v>
      </c>
      <c r="N110" s="3">
        <f>IF(Modi!N$57="",$B110,IF($B76="",0,IF(Modi!N$57="","",Modi!N$58+T76)))</f>
        <v>0.29547765831472972</v>
      </c>
      <c r="P110" s="3">
        <f>IF($B76="",0,$P$128+$D77)</f>
        <v>9.1399194669275925</v>
      </c>
      <c r="Q110" s="3">
        <f>IF($B76="",0,$Q$128+$D77)</f>
        <v>10.507919466927591</v>
      </c>
      <c r="R110" s="3"/>
      <c r="S110" s="3">
        <f>IF($B76="",0,$S$128+$D77)</f>
        <v>9.8239194669275918</v>
      </c>
      <c r="T110" s="3">
        <f>IF($B76="",0,$T$128+$D77)</f>
        <v>9.8239194669275918</v>
      </c>
    </row>
    <row r="111" spans="1:20">
      <c r="A111" s="6" t="s">
        <v>8</v>
      </c>
      <c r="B111" s="3">
        <f>IF($B77="",0,Modi!B$59+H77)</f>
        <v>0.14638762594476762</v>
      </c>
      <c r="C111" s="3">
        <f>IF($B77="",0,Modi!C$59+I77)</f>
        <v>0.93067898358384182</v>
      </c>
      <c r="D111" s="3">
        <f>IF($B77="",0,Modi!D$59+J77)</f>
        <v>9.8254118576145206</v>
      </c>
      <c r="E111" s="3">
        <f>IF(Modi!E$57="",$B111,IF($B77="",0,IF(Modi!E$57="","",Modi!E$59+K77)))</f>
        <v>9.3438294450291259</v>
      </c>
      <c r="F111" s="3">
        <f>IF(Modi!F$57="",$B111,IF($B77="",0,IF(Modi!F$57="","",Modi!F$59+L77)))</f>
        <v>16.439627580491802</v>
      </c>
      <c r="G111" s="3">
        <f>IF(Modi!G$57="",$B111,IF($B77="",0,IF(Modi!G$57="","",Modi!G$59+M77)))</f>
        <v>16.136918635438121</v>
      </c>
      <c r="H111" s="3">
        <f>IF(Modi!H$57="",$B111,IF($B77="",0,IF(Modi!H$57="","",Modi!H$59+N77)))</f>
        <v>0.14638762594476762</v>
      </c>
      <c r="I111" s="3">
        <f>IF(Modi!I$57="",$B111,IF($B77="",0,IF(Modi!I$57="","",Modi!I$59+O77)))</f>
        <v>0.14638762594476762</v>
      </c>
      <c r="J111" s="3">
        <f>IF(Modi!J$57="",$B111,IF($B77="",0,IF(Modi!J$57="","",Modi!J$59+P77)))</f>
        <v>0.14638762594476762</v>
      </c>
      <c r="K111" s="3">
        <f>IF(Modi!K$57="",$B111,IF($B77="",0,IF(Modi!K$57="","",Modi!K$59+Q77)))</f>
        <v>0.14638762594476762</v>
      </c>
      <c r="L111" s="3">
        <f>IF(Modi!L$57="",$B111,IF($B77="",0,IF(Modi!L$57="","",Modi!L$59+R77)))</f>
        <v>0.14638762594476762</v>
      </c>
      <c r="M111" s="3">
        <f>IF(Modi!M$57="",$B111,IF($B77="",0,IF(Modi!M$57="","",Modi!M$59+S77)))</f>
        <v>0.14638762594476762</v>
      </c>
      <c r="N111" s="3">
        <f>IF(Modi!N$57="",$B111,IF($B77="",0,IF(Modi!N$57="","",Modi!N$59+T77)))</f>
        <v>0.14638762594476762</v>
      </c>
      <c r="P111" s="3">
        <f>IF($B77="",0,$P$129+$E77)</f>
        <v>6.8114444070675297</v>
      </c>
      <c r="Q111" s="3">
        <f>IF($B77="",0,$Q$129+$E77)</f>
        <v>6.8114444070675297</v>
      </c>
      <c r="R111" s="3"/>
      <c r="S111" s="3">
        <f>IF($B77="",0,$S$129+$E77)</f>
        <v>6.1274444070675296</v>
      </c>
      <c r="T111" s="3">
        <f>IF($B77="",0,$T$129+$E77)</f>
        <v>7.4954444070675299</v>
      </c>
    </row>
    <row r="113" spans="1:20">
      <c r="A113" s="6" t="s">
        <v>7</v>
      </c>
      <c r="B113" s="3">
        <f>IF($B79="",0,Modi!B$58+H79)</f>
        <v>0</v>
      </c>
      <c r="C113" s="3">
        <f>IF($B79="",0,Modi!C$58+I79)</f>
        <v>0</v>
      </c>
      <c r="D113" s="3">
        <f>IF($B79="",0,Modi!D$58+J79)</f>
        <v>0</v>
      </c>
      <c r="E113" s="3">
        <f>IF(Modi!E$57="",$B113,IF($B79="",0,IF(Modi!E$57="","",Modi!E$58+K79)))</f>
        <v>0</v>
      </c>
      <c r="F113" s="3">
        <f>IF(Modi!F$57="",$B113,IF($B79="",0,IF(Modi!F$57="","",Modi!F$58+L79)))</f>
        <v>0</v>
      </c>
      <c r="G113" s="3">
        <f>IF(Modi!G$57="",$B113,IF($B79="",0,IF(Modi!G$57="","",Modi!G$58+M79)))</f>
        <v>0</v>
      </c>
      <c r="H113" s="3">
        <f>IF(Modi!H$57="",$B113,IF($B79="",0,IF(Modi!H$57="","",Modi!H$58+N79)))</f>
        <v>0</v>
      </c>
      <c r="I113" s="3">
        <f>IF(Modi!I$57="",$B113,IF($B79="",0,IF(Modi!I$57="","",Modi!I$58+O79)))</f>
        <v>0</v>
      </c>
      <c r="J113" s="3">
        <f>IF(Modi!J$57="",$B113,IF($B79="",0,IF(Modi!J$57="","",Modi!J$58+P79)))</f>
        <v>0</v>
      </c>
      <c r="K113" s="3">
        <f>IF(Modi!K$57="",$B113,IF($B79="",0,IF(Modi!K$57="","",Modi!K$58+Q79)))</f>
        <v>0</v>
      </c>
      <c r="L113" s="3">
        <f>IF(Modi!L$57="",$B113,IF($B79="",0,IF(Modi!L$57="","",Modi!L$58+R79)))</f>
        <v>0</v>
      </c>
      <c r="M113" s="3">
        <f>IF(Modi!M$57="",$B113,IF($B79="",0,IF(Modi!M$57="","",Modi!M$58+S79)))</f>
        <v>0</v>
      </c>
      <c r="N113" s="3">
        <f>IF(Modi!N$57="",$B113,IF($B79="",0,IF(Modi!N$57="","",Modi!N$58+T79)))</f>
        <v>0</v>
      </c>
      <c r="P113" s="3">
        <f>IF($B79="",0,$P$128+$D80)</f>
        <v>0</v>
      </c>
      <c r="Q113" s="3">
        <f>IF($B79="",0,$Q$128+$D80)</f>
        <v>0</v>
      </c>
      <c r="R113" s="3"/>
      <c r="S113" s="3">
        <f>IF($B79="",0,$S$128+$D80)</f>
        <v>0</v>
      </c>
      <c r="T113" s="3">
        <f>IF($B79="",0,$T$128+$D80)</f>
        <v>0</v>
      </c>
    </row>
    <row r="114" spans="1:20">
      <c r="A114" s="6" t="s">
        <v>8</v>
      </c>
      <c r="B114" s="3">
        <f>IF($B80="",0,Modi!B$59+H80)</f>
        <v>0</v>
      </c>
      <c r="C114" s="3">
        <f>IF($B80="",0,Modi!C$59+I80)</f>
        <v>0</v>
      </c>
      <c r="D114" s="3">
        <f>IF($B80="",0,Modi!D$59+J80)</f>
        <v>0</v>
      </c>
      <c r="E114" s="3">
        <f>IF(Modi!E$57="",$B114,IF($B80="",0,IF(Modi!E$57="","",Modi!E$59+K80)))</f>
        <v>0</v>
      </c>
      <c r="F114" s="3">
        <f>IF(Modi!F$57="",$B114,IF($B80="",0,IF(Modi!F$57="","",Modi!F$59+L80)))</f>
        <v>0</v>
      </c>
      <c r="G114" s="3">
        <f>IF(Modi!G$57="",$B114,IF($B80="",0,IF(Modi!G$57="","",Modi!G$59+M80)))</f>
        <v>0</v>
      </c>
      <c r="H114" s="3">
        <f>IF(Modi!H$57="",$B114,IF($B80="",0,IF(Modi!H$57="","",Modi!H$59+N80)))</f>
        <v>0</v>
      </c>
      <c r="I114" s="3">
        <f>IF(Modi!I$57="",$B114,IF($B80="",0,IF(Modi!I$57="","",Modi!I$59+O80)))</f>
        <v>0</v>
      </c>
      <c r="J114" s="3">
        <f>IF(Modi!J$57="",$B114,IF($B80="",0,IF(Modi!J$57="","",Modi!J$59+P80)))</f>
        <v>0</v>
      </c>
      <c r="K114" s="3">
        <f>IF(Modi!K$57="",$B114,IF($B80="",0,IF(Modi!K$57="","",Modi!K$59+Q80)))</f>
        <v>0</v>
      </c>
      <c r="L114" s="3">
        <f>IF(Modi!L$57="",$B114,IF($B80="",0,IF(Modi!L$57="","",Modi!L$59+R80)))</f>
        <v>0</v>
      </c>
      <c r="M114" s="3">
        <f>IF(Modi!M$57="",$B114,IF($B80="",0,IF(Modi!M$57="","",Modi!M$59+S80)))</f>
        <v>0</v>
      </c>
      <c r="N114" s="3">
        <f>IF(Modi!N$57="",$B114,IF($B80="",0,IF(Modi!N$57="","",Modi!N$59+T80)))</f>
        <v>0</v>
      </c>
      <c r="P114" s="3">
        <f>IF($B80="",0,$P$129+$E80)</f>
        <v>0</v>
      </c>
      <c r="Q114" s="3">
        <f>IF($B80="",0,$Q$129+$E80)</f>
        <v>0</v>
      </c>
      <c r="R114" s="3"/>
      <c r="S114" s="3">
        <f>IF($B80="",0,$S$129+$E80)</f>
        <v>0</v>
      </c>
      <c r="T114" s="3">
        <f>IF($B80="",0,$T$129+$E80)</f>
        <v>0</v>
      </c>
    </row>
    <row r="116" spans="1:20">
      <c r="A116" s="6" t="s">
        <v>7</v>
      </c>
      <c r="B116" s="3">
        <f>IF($B82="",0,Modi!B$58+H82)</f>
        <v>0</v>
      </c>
      <c r="C116" s="3">
        <f>IF($B82="",0,Modi!C$58+I82)</f>
        <v>0</v>
      </c>
      <c r="D116" s="3">
        <f>IF($B82="",0,Modi!D$58+J82)</f>
        <v>0</v>
      </c>
      <c r="E116" s="3">
        <f>IF(Modi!E$57="",$B116,IF($B82="",0,IF(Modi!E$57="","",Modi!E$58+K82)))</f>
        <v>0</v>
      </c>
      <c r="F116" s="3">
        <f>IF(Modi!F$57="",$B116,IF($B82="",0,IF(Modi!F$57="","",Modi!F$58+L82)))</f>
        <v>0</v>
      </c>
      <c r="G116" s="3">
        <f>IF(Modi!G$57="",$B116,IF($B82="",0,IF(Modi!G$57="","",Modi!G$58+M82)))</f>
        <v>0</v>
      </c>
      <c r="H116" s="3">
        <f>IF(Modi!H$57="",$B116,IF($B82="",0,IF(Modi!H$57="","",Modi!H$58+N82)))</f>
        <v>0</v>
      </c>
      <c r="I116" s="3">
        <f>IF(Modi!I$57="",$B116,IF($B82="",0,IF(Modi!I$57="","",Modi!I$58+O82)))</f>
        <v>0</v>
      </c>
      <c r="J116" s="3">
        <f>IF(Modi!J$57="",$B116,IF($B82="",0,IF(Modi!J$57="","",Modi!J$58+P82)))</f>
        <v>0</v>
      </c>
      <c r="K116" s="3">
        <f>IF(Modi!K$57="",$B116,IF($B82="",0,IF(Modi!K$57="","",Modi!K$58+Q82)))</f>
        <v>0</v>
      </c>
      <c r="L116" s="3">
        <f>IF(Modi!L$57="",$B116,IF($B82="",0,IF(Modi!L$57="","",Modi!L$58+R82)))</f>
        <v>0</v>
      </c>
      <c r="M116" s="3">
        <f>IF(Modi!M$57="",$B116,IF($B82="",0,IF(Modi!M$57="","",Modi!M$58+S82)))</f>
        <v>0</v>
      </c>
      <c r="N116" s="3">
        <f>IF(Modi!N$57="",$B116,IF($B82="",0,IF(Modi!N$57="","",Modi!N$58+T82)))</f>
        <v>0</v>
      </c>
      <c r="P116" s="3">
        <f>IF($B82="",0,$P$128+$D83)</f>
        <v>0</v>
      </c>
      <c r="Q116" s="3">
        <f>IF($B82="",0,$Q$128+$D83)</f>
        <v>0</v>
      </c>
      <c r="R116" s="3"/>
      <c r="S116" s="3">
        <f>IF($B82="",0,$S$128+$D83)</f>
        <v>0</v>
      </c>
      <c r="T116" s="3">
        <f>IF($B82="",0,$T$128+$D83)</f>
        <v>0</v>
      </c>
    </row>
    <row r="117" spans="1:20">
      <c r="A117" s="6" t="s">
        <v>8</v>
      </c>
      <c r="B117" s="3">
        <f>IF($B83="",0,Modi!B$59+H83)</f>
        <v>0</v>
      </c>
      <c r="C117" s="3">
        <f>IF($B83="",0,Modi!C$59+I83)</f>
        <v>0</v>
      </c>
      <c r="D117" s="3">
        <f>IF($B83="",0,Modi!D$59+J83)</f>
        <v>0</v>
      </c>
      <c r="E117" s="3">
        <f>IF(Modi!E$57="",$B117,IF($B83="",0,IF(Modi!E$57="","",Modi!E$59+K83)))</f>
        <v>0</v>
      </c>
      <c r="F117" s="3">
        <f>IF(Modi!F$57="",$B117,IF($B83="",0,IF(Modi!F$57="","",Modi!F$59+L83)))</f>
        <v>0</v>
      </c>
      <c r="G117" s="3">
        <f>IF(Modi!G$57="",$B117,IF($B83="",0,IF(Modi!G$57="","",Modi!G$59+M83)))</f>
        <v>0</v>
      </c>
      <c r="H117" s="3">
        <f>IF(Modi!H$57="",$B117,IF($B83="",0,IF(Modi!H$57="","",Modi!H$59+N83)))</f>
        <v>0</v>
      </c>
      <c r="I117" s="3">
        <f>IF(Modi!I$57="",$B117,IF($B83="",0,IF(Modi!I$57="","",Modi!I$59+O83)))</f>
        <v>0</v>
      </c>
      <c r="J117" s="3">
        <f>IF(Modi!J$57="",$B117,IF($B83="",0,IF(Modi!J$57="","",Modi!J$59+P83)))</f>
        <v>0</v>
      </c>
      <c r="K117" s="3">
        <f>IF(Modi!K$57="",$B117,IF($B83="",0,IF(Modi!K$57="","",Modi!K$59+Q83)))</f>
        <v>0</v>
      </c>
      <c r="L117" s="3">
        <f>IF(Modi!L$57="",$B117,IF($B83="",0,IF(Modi!L$57="","",Modi!L$59+R83)))</f>
        <v>0</v>
      </c>
      <c r="M117" s="3">
        <f>IF(Modi!M$57="",$B117,IF($B83="",0,IF(Modi!M$57="","",Modi!M$59+S83)))</f>
        <v>0</v>
      </c>
      <c r="N117" s="3">
        <f>IF(Modi!N$57="",$B117,IF($B83="",0,IF(Modi!N$57="","",Modi!N$59+T83)))</f>
        <v>0</v>
      </c>
      <c r="P117" s="3">
        <f>IF($B83="",0,$P$129+$E83)</f>
        <v>0</v>
      </c>
      <c r="Q117" s="3">
        <f>IF($B83="",0,$Q$129+$E83)</f>
        <v>0</v>
      </c>
      <c r="R117" s="3"/>
      <c r="S117" s="3">
        <f>IF($B83="",0,$S$129+$E83)</f>
        <v>0</v>
      </c>
      <c r="T117" s="3">
        <f>IF($B83="",0,$T$129+$E83)</f>
        <v>0</v>
      </c>
    </row>
    <row r="119" spans="1:20">
      <c r="A119" s="6" t="s">
        <v>7</v>
      </c>
      <c r="B119" s="3">
        <f>IF($B85="",0,Modi!B$58+H85)</f>
        <v>0</v>
      </c>
      <c r="C119" s="3">
        <f>IF($B85="",0,Modi!C$58+I85)</f>
        <v>0</v>
      </c>
      <c r="D119" s="3">
        <f>IF($B85="",0,Modi!D$58+J85)</f>
        <v>0</v>
      </c>
      <c r="E119" s="3">
        <f>IF(Modi!E$57="",$B119,IF($B85="",0,IF(Modi!E$57="","",Modi!E$58+K85)))</f>
        <v>0</v>
      </c>
      <c r="F119" s="3">
        <f>IF(Modi!F$57="",$B119,IF($B85="",0,IF(Modi!F$57="","",Modi!F$58+L85)))</f>
        <v>0</v>
      </c>
      <c r="G119" s="3">
        <f>IF(Modi!G$57="",$B119,IF($B85="",0,IF(Modi!G$57="","",Modi!G$58+M85)))</f>
        <v>0</v>
      </c>
      <c r="H119" s="3">
        <f>IF(Modi!H$57="",$B119,IF($B85="",0,IF(Modi!H$57="","",Modi!H$58+N85)))</f>
        <v>0</v>
      </c>
      <c r="I119" s="3">
        <f>IF(Modi!I$57="",$B119,IF($B85="",0,IF(Modi!I$57="","",Modi!I$58+O85)))</f>
        <v>0</v>
      </c>
      <c r="J119" s="3">
        <f>IF(Modi!J$57="",$B119,IF($B85="",0,IF(Modi!J$57="","",Modi!J$58+P85)))</f>
        <v>0</v>
      </c>
      <c r="K119" s="3">
        <f>IF(Modi!K$57="",$B119,IF($B85="",0,IF(Modi!K$57="","",Modi!K$58+Q85)))</f>
        <v>0</v>
      </c>
      <c r="L119" s="3">
        <f>IF(Modi!L$57="",$B119,IF($B85="",0,IF(Modi!L$57="","",Modi!L$58+R85)))</f>
        <v>0</v>
      </c>
      <c r="M119" s="3">
        <f>IF(Modi!M$57="",$B119,IF($B85="",0,IF(Modi!M$57="","",Modi!M$58+S85)))</f>
        <v>0</v>
      </c>
      <c r="N119" s="3">
        <f>IF(Modi!N$57="",$B119,IF($B85="",0,IF(Modi!N$57="","",Modi!N$58+T85)))</f>
        <v>0</v>
      </c>
      <c r="P119" s="3">
        <f>IF($B85="",0,$P$128+$D86)</f>
        <v>0</v>
      </c>
      <c r="Q119" s="3">
        <f>IF($B85="",0,$Q$128+$D86)</f>
        <v>0</v>
      </c>
      <c r="R119" s="3"/>
      <c r="S119" s="3">
        <f>IF($B85="",0,$S$128+$D86)</f>
        <v>0</v>
      </c>
      <c r="T119" s="3">
        <f>IF($B85="",0,$T$128+$D86)</f>
        <v>0</v>
      </c>
    </row>
    <row r="120" spans="1:20">
      <c r="A120" s="6" t="s">
        <v>8</v>
      </c>
      <c r="B120" s="3">
        <f>IF($B86="",0,Modi!B$59+H86)</f>
        <v>0</v>
      </c>
      <c r="C120" s="3">
        <f>IF($B86="",0,Modi!C$59+I86)</f>
        <v>0</v>
      </c>
      <c r="D120" s="3">
        <f>IF($B86="",0,Modi!D$59+J86)</f>
        <v>0</v>
      </c>
      <c r="E120" s="3">
        <f>IF(Modi!E$57="",$B120,IF($B86="",0,IF(Modi!E$57="","",Modi!E$59+K86)))</f>
        <v>0</v>
      </c>
      <c r="F120" s="3">
        <f>IF(Modi!F$57="",$B120,IF($B86="",0,IF(Modi!F$57="","",Modi!F$59+L86)))</f>
        <v>0</v>
      </c>
      <c r="G120" s="3">
        <f>IF(Modi!G$57="",$B120,IF($B86="",0,IF(Modi!G$57="","",Modi!G$59+M86)))</f>
        <v>0</v>
      </c>
      <c r="H120" s="3">
        <f>IF(Modi!H$57="",$B120,IF($B86="",0,IF(Modi!H$57="","",Modi!H$59+N86)))</f>
        <v>0</v>
      </c>
      <c r="I120" s="3">
        <f>IF(Modi!I$57="",$B120,IF($B86="",0,IF(Modi!I$57="","",Modi!I$59+O86)))</f>
        <v>0</v>
      </c>
      <c r="J120" s="3">
        <f>IF(Modi!J$57="",$B120,IF($B86="",0,IF(Modi!J$57="","",Modi!J$59+P86)))</f>
        <v>0</v>
      </c>
      <c r="K120" s="3">
        <f>IF(Modi!K$57="",$B120,IF($B86="",0,IF(Modi!K$57="","",Modi!K$59+Q86)))</f>
        <v>0</v>
      </c>
      <c r="L120" s="3">
        <f>IF(Modi!L$57="",$B120,IF($B86="",0,IF(Modi!L$57="","",Modi!L$59+R86)))</f>
        <v>0</v>
      </c>
      <c r="M120" s="3">
        <f>IF(Modi!M$57="",$B120,IF($B86="",0,IF(Modi!M$57="","",Modi!M$59+S86)))</f>
        <v>0</v>
      </c>
      <c r="N120" s="3">
        <f>IF(Modi!N$57="",$B120,IF($B86="",0,IF(Modi!N$57="","",Modi!N$59+T86)))</f>
        <v>0</v>
      </c>
      <c r="P120" s="3">
        <f>IF($B86="",0,$P$129+$E86)</f>
        <v>0</v>
      </c>
      <c r="Q120" s="3">
        <f>IF($B86="",0,$Q$129+$E86)</f>
        <v>0</v>
      </c>
      <c r="R120" s="3"/>
      <c r="S120" s="3">
        <f>IF($B86="",0,$S$129+$E86)</f>
        <v>0</v>
      </c>
      <c r="T120" s="3">
        <f>IF($B86="",0,$T$129+$E86)</f>
        <v>0</v>
      </c>
    </row>
    <row r="122" spans="1:20">
      <c r="A122" s="6" t="s">
        <v>7</v>
      </c>
      <c r="B122" s="3">
        <f>IF($B88="",0,Modi!B$58+H88)</f>
        <v>0</v>
      </c>
      <c r="C122" s="3">
        <f>IF($B88="",0,Modi!C$58+I88)</f>
        <v>0</v>
      </c>
      <c r="D122" s="3">
        <f>IF($B88="",0,Modi!D$58+J88)</f>
        <v>0</v>
      </c>
      <c r="E122" s="3">
        <f>IF(Modi!E$57="",$B122,IF($B88="",0,IF(Modi!E$57="","",Modi!E$58+K88)))</f>
        <v>0</v>
      </c>
      <c r="F122" s="3">
        <f>IF(Modi!F$57="",$B122,IF($B88="",0,IF(Modi!F$57="","",Modi!F$58+L88)))</f>
        <v>0</v>
      </c>
      <c r="G122" s="3">
        <f>IF(Modi!G$57="",$B122,IF($B88="",0,IF(Modi!G$57="","",Modi!G$58+M88)))</f>
        <v>0</v>
      </c>
      <c r="H122" s="3">
        <f>IF(Modi!H$57="",$B122,IF($B88="",0,IF(Modi!H$57="","",Modi!H$58+N88)))</f>
        <v>0</v>
      </c>
      <c r="I122" s="3">
        <f>IF(Modi!I$57="",$B122,IF($B88="",0,IF(Modi!I$57="","",Modi!I$58+O88)))</f>
        <v>0</v>
      </c>
      <c r="J122" s="3">
        <f>IF(Modi!J$57="",$B122,IF($B88="",0,IF(Modi!J$57="","",Modi!J$58+P88)))</f>
        <v>0</v>
      </c>
      <c r="K122" s="3">
        <f>IF(Modi!K$57="",$B122,IF($B88="",0,IF(Modi!K$57="","",Modi!K$58+Q88)))</f>
        <v>0</v>
      </c>
      <c r="L122" s="3">
        <f>IF(Modi!L$57="",$B122,IF($B88="",0,IF(Modi!L$57="","",Modi!L$58+R88)))</f>
        <v>0</v>
      </c>
      <c r="M122" s="3">
        <f>IF(Modi!M$57="",$B122,IF($B88="",0,IF(Modi!M$57="","",Modi!M$58+S88)))</f>
        <v>0</v>
      </c>
      <c r="N122" s="3">
        <f>IF(Modi!N$57="",$B122,IF($B88="",0,IF(Modi!N$57="","",Modi!N$58+T88)))</f>
        <v>0</v>
      </c>
      <c r="P122" s="3">
        <f>IF($B88="",0,$P$128+$D89)</f>
        <v>0</v>
      </c>
      <c r="Q122" s="3">
        <f>IF($B88="",0,$Q$128+$D89)</f>
        <v>0</v>
      </c>
      <c r="R122" s="3"/>
      <c r="S122" s="3">
        <f>IF($B88="",0,$S$128+$D89)</f>
        <v>0</v>
      </c>
      <c r="T122" s="3">
        <f>IF($B88="",0,$T$128+$D89)</f>
        <v>0</v>
      </c>
    </row>
    <row r="123" spans="1:20">
      <c r="A123" s="6" t="s">
        <v>8</v>
      </c>
      <c r="B123" s="3">
        <f>IF($B89="",0,Modi!B$59+H89)</f>
        <v>0</v>
      </c>
      <c r="C123" s="3">
        <f>IF($B89="",0,Modi!C$59+I89)</f>
        <v>0</v>
      </c>
      <c r="D123" s="3">
        <f>IF($B89="",0,Modi!D$59+J89)</f>
        <v>0</v>
      </c>
      <c r="E123" s="3">
        <f>IF(Modi!E$57="",$B123,IF($B89="",0,IF(Modi!E$57="","",Modi!E$59+K89)))</f>
        <v>0</v>
      </c>
      <c r="F123" s="3">
        <f>IF(Modi!F$57="",$B123,IF($B89="",0,IF(Modi!F$57="","",Modi!F$59+L89)))</f>
        <v>0</v>
      </c>
      <c r="G123" s="3">
        <f>IF(Modi!G$57="",$B123,IF($B89="",0,IF(Modi!G$57="","",Modi!G$59+M89)))</f>
        <v>0</v>
      </c>
      <c r="H123" s="3">
        <f>IF(Modi!H$57="",$B123,IF($B89="",0,IF(Modi!H$57="","",Modi!H$59+N89)))</f>
        <v>0</v>
      </c>
      <c r="I123" s="3">
        <f>IF(Modi!I$57="",$B123,IF($B89="",0,IF(Modi!I$57="","",Modi!I$59+O89)))</f>
        <v>0</v>
      </c>
      <c r="J123" s="3">
        <f>IF(Modi!J$57="",$B123,IF($B89="",0,IF(Modi!J$57="","",Modi!J$59+P89)))</f>
        <v>0</v>
      </c>
      <c r="K123" s="3">
        <f>IF(Modi!K$57="",$B123,IF($B89="",0,IF(Modi!K$57="","",Modi!K$59+Q89)))</f>
        <v>0</v>
      </c>
      <c r="L123" s="3">
        <f>IF(Modi!L$57="",$B123,IF($B89="",0,IF(Modi!L$57="","",Modi!L$59+R89)))</f>
        <v>0</v>
      </c>
      <c r="M123" s="3">
        <f>IF(Modi!M$57="",$B123,IF($B89="",0,IF(Modi!M$57="","",Modi!M$59+S89)))</f>
        <v>0</v>
      </c>
      <c r="N123" s="3">
        <f>IF(Modi!N$57="",$B123,IF($B89="",0,IF(Modi!N$57="","",Modi!N$59+T89)))</f>
        <v>0</v>
      </c>
      <c r="P123" s="3">
        <f>IF($B89="",0,$P$129+$E89)</f>
        <v>0</v>
      </c>
      <c r="Q123" s="3">
        <f>IF($B89="",0,$Q$129+$E89)</f>
        <v>0</v>
      </c>
      <c r="R123" s="3"/>
      <c r="S123" s="3">
        <f>IF($B89="",0,$S$129+$E89)</f>
        <v>0</v>
      </c>
      <c r="T123" s="3">
        <f>IF($B89="",0,$T$129+$E89)</f>
        <v>0</v>
      </c>
    </row>
    <row r="125" spans="1:20">
      <c r="A125" s="6" t="s">
        <v>7</v>
      </c>
      <c r="B125" s="3">
        <f>IF($B91="",0,Modi!B$58+H91)</f>
        <v>0</v>
      </c>
      <c r="C125" s="3">
        <f>IF($B91="",0,Modi!C$58+I91)</f>
        <v>0</v>
      </c>
      <c r="D125" s="3">
        <f>IF($B91="",0,Modi!D$58+J91)</f>
        <v>0</v>
      </c>
      <c r="E125" s="3">
        <f>IF(Modi!E$57="",$B125,IF($B91="",0,IF(Modi!E$57="","",Modi!E$58+K91)))</f>
        <v>0</v>
      </c>
      <c r="F125" s="3">
        <f>IF(Modi!F$57="",$B125,IF($B91="",0,IF(Modi!F$57="","",Modi!F$58+L91)))</f>
        <v>0</v>
      </c>
      <c r="G125" s="3">
        <f>IF(Modi!G$57="",$B125,IF($B91="",0,IF(Modi!G$57="","",Modi!G$58+M91)))</f>
        <v>0</v>
      </c>
      <c r="H125" s="3">
        <f>IF(Modi!H$57="",$B125,IF($B91="",0,IF(Modi!H$57="","",Modi!H$58+N91)))</f>
        <v>0</v>
      </c>
      <c r="I125" s="3">
        <f>IF(Modi!I$57="",$B125,IF($B91="",0,IF(Modi!I$57="","",Modi!I$58+O91)))</f>
        <v>0</v>
      </c>
      <c r="J125" s="3">
        <f>IF(Modi!J$57="",$B125,IF($B91="",0,IF(Modi!J$57="","",Modi!J$58+P91)))</f>
        <v>0</v>
      </c>
      <c r="K125" s="3">
        <f>IF(Modi!K$57="",$B125,IF($B91="",0,IF(Modi!K$57="","",Modi!K$58+Q91)))</f>
        <v>0</v>
      </c>
      <c r="L125" s="3">
        <f>IF(Modi!L$57="",$B125,IF($B91="",0,IF(Modi!L$57="","",Modi!L$58+R91)))</f>
        <v>0</v>
      </c>
      <c r="M125" s="3">
        <f>IF(Modi!M$57="",$B125,IF($B91="",0,IF(Modi!M$57="","",Modi!M$58+S91)))</f>
        <v>0</v>
      </c>
      <c r="N125" s="3">
        <f>IF(Modi!N$57="",$B125,IF($B91="",0,IF(Modi!N$57="","",Modi!N$58+T91)))</f>
        <v>0</v>
      </c>
      <c r="P125" s="3">
        <f>IF($B91="",0,$P$128+$D92)</f>
        <v>0</v>
      </c>
      <c r="Q125" s="3">
        <f>IF($B91="",0,$Q$128+$D92)</f>
        <v>0</v>
      </c>
      <c r="R125" s="3"/>
      <c r="S125" s="3">
        <f>IF($B91="",0,$S$128+$D92)</f>
        <v>0</v>
      </c>
      <c r="T125" s="3">
        <f>IF($B91="",0,$T$128+$D92)</f>
        <v>0</v>
      </c>
    </row>
    <row r="126" spans="1:20">
      <c r="A126" s="6" t="s">
        <v>8</v>
      </c>
      <c r="B126" s="3">
        <f>IF($B92="",0,Modi!B$59+H92)</f>
        <v>0</v>
      </c>
      <c r="C126" s="3">
        <f>IF($B92="",0,Modi!C$59+I92)</f>
        <v>0</v>
      </c>
      <c r="D126" s="3">
        <f>IF($B92="",0,Modi!D$59+J92)</f>
        <v>0</v>
      </c>
      <c r="E126" s="3">
        <f>IF(Modi!E$57="",$B126,IF($B92="",0,IF(Modi!E$57="","",Modi!E$59+K92)))</f>
        <v>0</v>
      </c>
      <c r="F126" s="3">
        <f>IF(Modi!F$57="",$B126,IF($B92="",0,IF(Modi!F$57="","",Modi!F$59+L92)))</f>
        <v>0</v>
      </c>
      <c r="G126" s="3">
        <f>IF(Modi!G$57="",$B126,IF($B92="",0,IF(Modi!G$57="","",Modi!G$59+M92)))</f>
        <v>0</v>
      </c>
      <c r="H126" s="3">
        <f>IF(Modi!H$57="",$B126,IF($B92="",0,IF(Modi!H$57="","",Modi!H$59+N92)))</f>
        <v>0</v>
      </c>
      <c r="I126" s="3">
        <f>IF(Modi!I$57="",$B126,IF($B92="",0,IF(Modi!I$57="","",Modi!I$59+O92)))</f>
        <v>0</v>
      </c>
      <c r="J126" s="3">
        <f>IF(Modi!J$57="",$B126,IF($B92="",0,IF(Modi!J$57="","",Modi!J$59+P92)))</f>
        <v>0</v>
      </c>
      <c r="K126" s="3">
        <f>IF(Modi!K$57="",$B126,IF($B92="",0,IF(Modi!K$57="","",Modi!K$59+Q92)))</f>
        <v>0</v>
      </c>
      <c r="L126" s="3">
        <f>IF(Modi!L$57="",$B126,IF($B92="",0,IF(Modi!L$57="","",Modi!L$59+R92)))</f>
        <v>0</v>
      </c>
      <c r="M126" s="3">
        <f>IF(Modi!M$57="",$B126,IF($B92="",0,IF(Modi!M$57="","",Modi!M$59+S92)))</f>
        <v>0</v>
      </c>
      <c r="N126" s="3">
        <f>IF(Modi!N$57="",$B126,IF($B92="",0,IF(Modi!N$57="","",Modi!N$59+T92)))</f>
        <v>0</v>
      </c>
      <c r="P126" s="3">
        <f>IF($B92="",0,$P$129+$E92)</f>
        <v>0</v>
      </c>
      <c r="Q126" s="3">
        <f>IF($B92="",0,$Q$129+$E92)</f>
        <v>0</v>
      </c>
      <c r="R126" s="3"/>
      <c r="S126" s="3">
        <f>IF($B92="",0,$S$129+$E92)</f>
        <v>0</v>
      </c>
      <c r="T126" s="3">
        <f>IF($B92="",0,$T$129+$E92)</f>
        <v>0</v>
      </c>
    </row>
    <row r="128" spans="1:20">
      <c r="A128" s="6" t="s">
        <v>7</v>
      </c>
      <c r="B128" s="3">
        <f>Modi!B58</f>
        <v>0</v>
      </c>
      <c r="C128" s="3">
        <f>Modi!C58</f>
        <v>22.8</v>
      </c>
      <c r="D128" s="3">
        <f>Modi!D58</f>
        <v>22.8</v>
      </c>
      <c r="E128" s="3">
        <f>Modi!E58</f>
        <v>8.8000000000000007</v>
      </c>
      <c r="F128" s="3">
        <f>Modi!F58</f>
        <v>8.8000000000000007</v>
      </c>
      <c r="G128" s="3">
        <f>Modi!G58</f>
        <v>0</v>
      </c>
      <c r="H128" s="3">
        <f>Modi!H58</f>
        <v>0</v>
      </c>
      <c r="I128" s="3">
        <f>Modi!I58</f>
        <v>0</v>
      </c>
      <c r="J128" s="3">
        <f>Modi!J58</f>
        <v>0</v>
      </c>
      <c r="K128" s="3">
        <f>Modi!K58</f>
        <v>0</v>
      </c>
      <c r="L128" s="3">
        <f>Modi!L58</f>
        <v>0</v>
      </c>
      <c r="M128" s="3">
        <f>Modi!M58</f>
        <v>0</v>
      </c>
      <c r="N128" s="3">
        <f>Modi!N58</f>
        <v>0</v>
      </c>
      <c r="P128" s="3">
        <f>I18</f>
        <v>9.0680723436322541</v>
      </c>
      <c r="Q128" s="3">
        <f>J18</f>
        <v>10.436072343632253</v>
      </c>
      <c r="S128" s="3">
        <f>L18</f>
        <v>9.7520723436322534</v>
      </c>
      <c r="T128" s="3">
        <f>M18</f>
        <v>9.7520723436322534</v>
      </c>
    </row>
    <row r="129" spans="1:20">
      <c r="A129" s="6" t="s">
        <v>8</v>
      </c>
      <c r="B129" s="3">
        <f>Modi!B59</f>
        <v>0</v>
      </c>
      <c r="C129" s="3">
        <f>Modi!C59</f>
        <v>0</v>
      </c>
      <c r="D129" s="3">
        <f>Modi!D59</f>
        <v>8.9</v>
      </c>
      <c r="E129" s="3">
        <f>Modi!E59</f>
        <v>8.9</v>
      </c>
      <c r="F129" s="3">
        <f>Modi!F59</f>
        <v>16</v>
      </c>
      <c r="G129" s="3">
        <f>Modi!G59</f>
        <v>16</v>
      </c>
      <c r="H129" s="3">
        <f>Modi!H59</f>
        <v>0</v>
      </c>
      <c r="I129" s="3">
        <f>Modi!I59</f>
        <v>0</v>
      </c>
      <c r="J129" s="3">
        <f>Modi!J59</f>
        <v>0</v>
      </c>
      <c r="K129" s="3">
        <f>Modi!K59</f>
        <v>0</v>
      </c>
      <c r="L129" s="3">
        <f>Modi!L59</f>
        <v>0</v>
      </c>
      <c r="M129" s="3">
        <f>Modi!M59</f>
        <v>0</v>
      </c>
      <c r="N129" s="3">
        <f>Modi!N59</f>
        <v>0</v>
      </c>
      <c r="P129" s="3">
        <f>I19</f>
        <v>6.3333458929917104</v>
      </c>
      <c r="Q129" s="3">
        <f>J19</f>
        <v>6.3333458929917104</v>
      </c>
      <c r="S129" s="3">
        <f>L19</f>
        <v>5.6493458929917102</v>
      </c>
      <c r="T129" s="3">
        <f>M19</f>
        <v>7.0173458929917105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dimension ref="A1:CL82"/>
  <sheetViews>
    <sheetView workbookViewId="0">
      <selection activeCell="A2" sqref="A2"/>
    </sheetView>
  </sheetViews>
  <sheetFormatPr defaultRowHeight="12.75"/>
  <cols>
    <col min="1" max="12" width="6.5703125" customWidth="1"/>
    <col min="13" max="13" width="2.5703125" customWidth="1"/>
    <col min="14" max="25" width="6.5703125" customWidth="1"/>
    <col min="26" max="26" width="2.5703125" customWidth="1"/>
    <col min="27" max="38" width="6.5703125" customWidth="1"/>
    <col min="39" max="39" width="2.5703125" customWidth="1"/>
    <col min="40" max="51" width="6.5703125" customWidth="1"/>
    <col min="52" max="52" width="2.5703125" customWidth="1"/>
    <col min="53" max="64" width="6.5703125" customWidth="1"/>
    <col min="65" max="65" width="2.5703125" customWidth="1"/>
    <col min="66" max="77" width="6.5703125" customWidth="1"/>
    <col min="78" max="78" width="2.5703125" customWidth="1"/>
  </cols>
  <sheetData>
    <row r="1" spans="1:90">
      <c r="B1" s="40" t="s">
        <v>86</v>
      </c>
      <c r="C1" s="33">
        <f>CC1</f>
        <v>12</v>
      </c>
      <c r="D1" s="39"/>
      <c r="E1" s="39" t="s">
        <v>95</v>
      </c>
      <c r="F1" s="38">
        <f>IF(Dati!K2="",CF1,Dati!K2)</f>
        <v>5</v>
      </c>
      <c r="H1" s="39" t="s">
        <v>96</v>
      </c>
      <c r="I1" s="38">
        <f>C1-F1</f>
        <v>7</v>
      </c>
      <c r="K1" s="41" t="str">
        <f>IF(OR(MAX(H9:H28)&gt;MAX(Modi!B59:M59),MAX(K9:K28)&gt;MAX(Modi!B58:M58)),"Possibile errore","")</f>
        <v/>
      </c>
      <c r="CB1" s="40" t="s">
        <v>86</v>
      </c>
      <c r="CC1" s="33">
        <f>MAX(SPO!$A:$A)</f>
        <v>12</v>
      </c>
      <c r="CD1" s="39"/>
      <c r="CE1" s="39" t="s">
        <v>95</v>
      </c>
      <c r="CF1" s="38">
        <f>COUNTIF(CG9:CG28,"tel x")</f>
        <v>5</v>
      </c>
      <c r="CH1" s="39" t="s">
        <v>96</v>
      </c>
      <c r="CI1" s="38">
        <f>CC1-CF1</f>
        <v>7</v>
      </c>
    </row>
    <row r="3" spans="1:90">
      <c r="A3" s="6" t="s">
        <v>4</v>
      </c>
      <c r="C3" s="1" t="s">
        <v>4</v>
      </c>
      <c r="D3" s="6" t="s">
        <v>18</v>
      </c>
      <c r="G3" s="46" t="s">
        <v>109</v>
      </c>
      <c r="N3" s="6" t="s">
        <v>4</v>
      </c>
      <c r="P3" s="1" t="s">
        <v>4</v>
      </c>
      <c r="Q3" s="6" t="s">
        <v>18</v>
      </c>
      <c r="AA3" s="6" t="s">
        <v>4</v>
      </c>
      <c r="AC3" s="1" t="s">
        <v>4</v>
      </c>
      <c r="AD3" s="6" t="s">
        <v>18</v>
      </c>
      <c r="AN3" s="6" t="s">
        <v>4</v>
      </c>
      <c r="AP3" s="1" t="s">
        <v>4</v>
      </c>
      <c r="AQ3" s="6" t="s">
        <v>18</v>
      </c>
      <c r="BA3" s="6" t="s">
        <v>4</v>
      </c>
      <c r="BC3" s="1" t="s">
        <v>4</v>
      </c>
      <c r="BD3" s="6" t="s">
        <v>18</v>
      </c>
      <c r="BN3" s="6" t="s">
        <v>4</v>
      </c>
      <c r="BP3" s="1" t="s">
        <v>4</v>
      </c>
      <c r="BQ3" s="6" t="s">
        <v>18</v>
      </c>
      <c r="CA3" s="6" t="s">
        <v>4</v>
      </c>
      <c r="CC3" s="1" t="s">
        <v>4</v>
      </c>
      <c r="CD3" s="6" t="s">
        <v>18</v>
      </c>
      <c r="CG3" s="46" t="s">
        <v>109</v>
      </c>
    </row>
    <row r="4" spans="1:90">
      <c r="A4" s="38">
        <f>Dati!B2</f>
        <v>5</v>
      </c>
      <c r="C4" s="1">
        <f>A4</f>
        <v>5</v>
      </c>
      <c r="D4" s="1">
        <f>(Modi!$B$51-A4)*3+2</f>
        <v>2</v>
      </c>
      <c r="E4" s="1" t="s">
        <v>0</v>
      </c>
      <c r="F4" s="1">
        <f>INDEX(SPI!$K:$K,D4)</f>
        <v>1.165</v>
      </c>
      <c r="G4" s="46"/>
      <c r="N4" s="38">
        <f>MAX(1,A4-1)</f>
        <v>4</v>
      </c>
      <c r="P4" s="1">
        <f>N4</f>
        <v>4</v>
      </c>
      <c r="Q4" s="1">
        <f>(Modi!$B$51-N4)*3+2</f>
        <v>5</v>
      </c>
      <c r="R4" s="1" t="s">
        <v>0</v>
      </c>
      <c r="S4" s="2">
        <f>INDEX(SPI!$K:$K,Q4)</f>
        <v>1.03</v>
      </c>
      <c r="AA4" s="38">
        <f>MAX(1,N4-1)</f>
        <v>3</v>
      </c>
      <c r="AC4" s="1">
        <f>AA4</f>
        <v>3</v>
      </c>
      <c r="AD4" s="1">
        <f>(Modi!$B$51-AA4)*3+2</f>
        <v>8</v>
      </c>
      <c r="AE4" s="1" t="s">
        <v>0</v>
      </c>
      <c r="AF4" s="2">
        <f>INDEX(SPI!$K:$K,AD4)</f>
        <v>0.82599999999999996</v>
      </c>
      <c r="AN4" s="38">
        <f>MAX(1,AA4-1)</f>
        <v>2</v>
      </c>
      <c r="AP4" s="1">
        <f>AN4</f>
        <v>2</v>
      </c>
      <c r="AQ4" s="1">
        <f>(Modi!$B$51-AN4)*3+2</f>
        <v>11</v>
      </c>
      <c r="AR4" s="1" t="s">
        <v>0</v>
      </c>
      <c r="AS4" s="2">
        <f>INDEX(SPI!$K:$K,AQ4)</f>
        <v>0.56000000000000005</v>
      </c>
      <c r="BA4" s="38">
        <f>MAX(1,AN4-1)</f>
        <v>1</v>
      </c>
      <c r="BC4" s="1">
        <f>BA4</f>
        <v>1</v>
      </c>
      <c r="BD4" s="1">
        <f>(Modi!$B$51-BA4)*3+2</f>
        <v>14</v>
      </c>
      <c r="BE4" s="1" t="s">
        <v>0</v>
      </c>
      <c r="BF4" s="2">
        <f>INDEX(SPI!$K:$K,BD4)</f>
        <v>0.26</v>
      </c>
      <c r="BN4" s="38">
        <f>MAX(1,BA4-1)</f>
        <v>1</v>
      </c>
      <c r="BP4" s="1">
        <f>BN4</f>
        <v>1</v>
      </c>
      <c r="BQ4" s="1">
        <f>(Modi!$B$51-BN4)*3+2</f>
        <v>14</v>
      </c>
      <c r="BR4" s="1" t="s">
        <v>0</v>
      </c>
      <c r="BS4" s="2">
        <f>INDEX(SPI!$K:$K,BQ4)</f>
        <v>0.26</v>
      </c>
      <c r="CA4" s="45">
        <f>A4</f>
        <v>5</v>
      </c>
      <c r="CC4" s="1">
        <f>CA4</f>
        <v>5</v>
      </c>
      <c r="CD4" s="1">
        <f>(Modi!$B$51-CA4)*3+2</f>
        <v>2</v>
      </c>
      <c r="CE4" s="1" t="s">
        <v>0</v>
      </c>
      <c r="CF4" s="1">
        <f>INDEX(SPI!$K:$K,CD4)</f>
        <v>1.165</v>
      </c>
      <c r="CG4" s="46" t="s">
        <v>134</v>
      </c>
    </row>
    <row r="5" spans="1:90">
      <c r="C5" s="1">
        <f>C4</f>
        <v>5</v>
      </c>
      <c r="D5" s="1">
        <f>D4+1</f>
        <v>3</v>
      </c>
      <c r="E5" s="1" t="s">
        <v>1</v>
      </c>
      <c r="F5" s="1">
        <f>INDEX(SPI!$K:$K,D5)</f>
        <v>-1.655</v>
      </c>
      <c r="P5" s="1">
        <f>P4</f>
        <v>4</v>
      </c>
      <c r="Q5" s="1">
        <f>Q4+1</f>
        <v>6</v>
      </c>
      <c r="R5" s="1" t="s">
        <v>1</v>
      </c>
      <c r="S5" s="2">
        <f>INDEX(SPI!$K:$K,Q5)</f>
        <v>-1.464</v>
      </c>
      <c r="AC5" s="1">
        <f>AC4</f>
        <v>3</v>
      </c>
      <c r="AD5" s="1">
        <f>AD4+1</f>
        <v>9</v>
      </c>
      <c r="AE5" s="1" t="s">
        <v>1</v>
      </c>
      <c r="AF5" s="2">
        <f>INDEX(SPI!$K:$K,AD5)</f>
        <v>-1.1759999999999999</v>
      </c>
      <c r="AP5" s="1">
        <f>AP4</f>
        <v>2</v>
      </c>
      <c r="AQ5" s="1">
        <f>AQ4+1</f>
        <v>12</v>
      </c>
      <c r="AR5" s="1" t="s">
        <v>1</v>
      </c>
      <c r="AS5" s="2">
        <f>INDEX(SPI!$K:$K,AQ5)</f>
        <v>-0.8</v>
      </c>
      <c r="BC5" s="1">
        <f>BC4</f>
        <v>1</v>
      </c>
      <c r="BD5" s="1">
        <f>BD4+1</f>
        <v>15</v>
      </c>
      <c r="BE5" s="1" t="s">
        <v>1</v>
      </c>
      <c r="BF5" s="2">
        <f>INDEX(SPI!$K:$K,BD5)</f>
        <v>-0.375</v>
      </c>
      <c r="BP5" s="1">
        <f>BP4</f>
        <v>1</v>
      </c>
      <c r="BQ5" s="1">
        <f>BQ4+1</f>
        <v>15</v>
      </c>
      <c r="BR5" s="1" t="s">
        <v>1</v>
      </c>
      <c r="BS5" s="2">
        <f>INDEX(SPI!$K:$K,BQ5)</f>
        <v>-0.375</v>
      </c>
      <c r="CC5" s="1">
        <f>CC4</f>
        <v>5</v>
      </c>
      <c r="CD5" s="1">
        <f>CD4+1</f>
        <v>3</v>
      </c>
      <c r="CE5" s="1" t="s">
        <v>1</v>
      </c>
      <c r="CF5" s="1">
        <f>INDEX(SPI!$K:$K,CD5)</f>
        <v>-1.655</v>
      </c>
    </row>
    <row r="6" spans="1:90">
      <c r="C6" s="1">
        <f>C5</f>
        <v>5</v>
      </c>
      <c r="D6" s="1">
        <f>D5+1</f>
        <v>4</v>
      </c>
      <c r="E6" s="1" t="s">
        <v>2</v>
      </c>
      <c r="F6" s="1">
        <f>INDEX(SPI!$K:$K,D6)</f>
        <v>0.19800000000000001</v>
      </c>
      <c r="P6" s="1">
        <f>P5</f>
        <v>4</v>
      </c>
      <c r="Q6" s="1">
        <f>Q5+1</f>
        <v>7</v>
      </c>
      <c r="R6" s="1" t="s">
        <v>2</v>
      </c>
      <c r="S6" s="2">
        <f>INDEX(SPI!$K:$K,Q6)</f>
        <v>0.17399999999999999</v>
      </c>
      <c r="AC6" s="1">
        <f>AC5</f>
        <v>3</v>
      </c>
      <c r="AD6" s="1">
        <f>AD5+1</f>
        <v>10</v>
      </c>
      <c r="AE6" s="1" t="s">
        <v>2</v>
      </c>
      <c r="AF6" s="2">
        <f>INDEX(SPI!$K:$K,AD6)</f>
        <v>0.13900000000000001</v>
      </c>
      <c r="AP6" s="1">
        <f>AP5</f>
        <v>2</v>
      </c>
      <c r="AQ6" s="1">
        <f>AQ5+1</f>
        <v>13</v>
      </c>
      <c r="AR6" s="1" t="s">
        <v>2</v>
      </c>
      <c r="AS6" s="2">
        <f>INDEX(SPI!$K:$K,AQ6)</f>
        <v>9.2999999999999999E-2</v>
      </c>
      <c r="BC6" s="1">
        <f>BC5</f>
        <v>1</v>
      </c>
      <c r="BD6" s="1">
        <f>BD5+1</f>
        <v>16</v>
      </c>
      <c r="BE6" s="1" t="s">
        <v>2</v>
      </c>
      <c r="BF6" s="2">
        <f>INDEX(SPI!$K:$K,BD6)</f>
        <v>4.2000000000000003E-2</v>
      </c>
      <c r="BP6" s="1">
        <f>BP5</f>
        <v>1</v>
      </c>
      <c r="BQ6" s="1">
        <f>BQ5+1</f>
        <v>16</v>
      </c>
      <c r="BR6" s="1" t="s">
        <v>2</v>
      </c>
      <c r="BS6" s="2">
        <f>INDEX(SPI!$K:$K,BQ6)</f>
        <v>4.2000000000000003E-2</v>
      </c>
      <c r="CC6" s="1">
        <f>CC5</f>
        <v>5</v>
      </c>
      <c r="CD6" s="1">
        <f>CD5+1</f>
        <v>4</v>
      </c>
      <c r="CE6" s="1" t="s">
        <v>2</v>
      </c>
      <c r="CF6" s="1">
        <f>INDEX(SPI!$K:$K,CD6)</f>
        <v>0.19800000000000001</v>
      </c>
    </row>
    <row r="7" spans="1:90">
      <c r="A7" s="6" t="s">
        <v>93</v>
      </c>
      <c r="N7" s="6" t="s">
        <v>93</v>
      </c>
      <c r="AA7" s="6" t="s">
        <v>93</v>
      </c>
      <c r="AN7" s="6" t="s">
        <v>93</v>
      </c>
      <c r="BA7" s="6" t="s">
        <v>93</v>
      </c>
      <c r="BN7" s="6" t="s">
        <v>93</v>
      </c>
      <c r="CA7" s="6" t="s">
        <v>93</v>
      </c>
    </row>
    <row r="8" spans="1:90">
      <c r="B8" s="6"/>
      <c r="C8" s="6" t="s">
        <v>71</v>
      </c>
      <c r="D8" s="37" t="s">
        <v>94</v>
      </c>
      <c r="E8" s="6"/>
      <c r="F8" s="6"/>
      <c r="G8" s="1"/>
      <c r="H8" s="6" t="s">
        <v>8</v>
      </c>
      <c r="I8" s="6" t="s">
        <v>97</v>
      </c>
      <c r="J8" s="1"/>
      <c r="K8" s="6" t="s">
        <v>7</v>
      </c>
      <c r="L8" s="6" t="s">
        <v>98</v>
      </c>
      <c r="O8" s="6"/>
      <c r="P8" s="6" t="s">
        <v>71</v>
      </c>
      <c r="Q8" s="37" t="s">
        <v>94</v>
      </c>
      <c r="R8" s="6"/>
      <c r="S8" s="6"/>
      <c r="T8" s="1"/>
      <c r="U8" s="6" t="s">
        <v>8</v>
      </c>
      <c r="V8" s="6" t="s">
        <v>97</v>
      </c>
      <c r="W8" s="1"/>
      <c r="X8" s="6" t="s">
        <v>7</v>
      </c>
      <c r="Y8" s="6" t="s">
        <v>98</v>
      </c>
      <c r="AB8" s="6"/>
      <c r="AC8" s="6" t="s">
        <v>71</v>
      </c>
      <c r="AD8" s="37" t="s">
        <v>94</v>
      </c>
      <c r="AE8" s="6"/>
      <c r="AF8" s="6"/>
      <c r="AG8" s="1"/>
      <c r="AH8" s="6" t="s">
        <v>8</v>
      </c>
      <c r="AI8" s="6" t="s">
        <v>97</v>
      </c>
      <c r="AJ8" s="1"/>
      <c r="AK8" s="6" t="s">
        <v>7</v>
      </c>
      <c r="AL8" s="6" t="s">
        <v>98</v>
      </c>
      <c r="AO8" s="6"/>
      <c r="AP8" s="6" t="s">
        <v>71</v>
      </c>
      <c r="AQ8" s="37" t="s">
        <v>94</v>
      </c>
      <c r="AR8" s="6"/>
      <c r="AS8" s="6"/>
      <c r="AT8" s="1"/>
      <c r="AU8" s="6" t="s">
        <v>8</v>
      </c>
      <c r="AV8" s="6" t="s">
        <v>97</v>
      </c>
      <c r="AW8" s="1"/>
      <c r="AX8" s="6" t="s">
        <v>7</v>
      </c>
      <c r="AY8" s="6" t="s">
        <v>98</v>
      </c>
      <c r="BB8" s="6"/>
      <c r="BC8" s="6" t="s">
        <v>71</v>
      </c>
      <c r="BD8" s="37" t="s">
        <v>94</v>
      </c>
      <c r="BE8" s="6"/>
      <c r="BF8" s="6"/>
      <c r="BG8" s="1"/>
      <c r="BH8" s="6" t="s">
        <v>8</v>
      </c>
      <c r="BI8" s="6" t="s">
        <v>97</v>
      </c>
      <c r="BJ8" s="1"/>
      <c r="BK8" s="6" t="s">
        <v>7</v>
      </c>
      <c r="BL8" s="6" t="s">
        <v>98</v>
      </c>
      <c r="BO8" s="6"/>
      <c r="BP8" s="6" t="s">
        <v>71</v>
      </c>
      <c r="BQ8" s="37" t="s">
        <v>94</v>
      </c>
      <c r="BR8" s="6"/>
      <c r="BS8" s="6"/>
      <c r="BT8" s="1"/>
      <c r="BU8" s="6" t="s">
        <v>8</v>
      </c>
      <c r="BV8" s="6" t="s">
        <v>97</v>
      </c>
      <c r="BW8" s="1"/>
      <c r="BX8" s="6" t="s">
        <v>7</v>
      </c>
      <c r="BY8" s="6" t="s">
        <v>98</v>
      </c>
      <c r="CB8" s="6" t="s">
        <v>18</v>
      </c>
      <c r="CC8" s="6" t="s">
        <v>71</v>
      </c>
      <c r="CD8" s="37" t="s">
        <v>94</v>
      </c>
      <c r="CE8" s="6" t="s">
        <v>8</v>
      </c>
      <c r="CF8" s="6" t="s">
        <v>7</v>
      </c>
      <c r="CG8" s="1"/>
      <c r="CH8" s="6" t="s">
        <v>8</v>
      </c>
      <c r="CI8" s="6" t="s">
        <v>97</v>
      </c>
      <c r="CJ8" s="1"/>
      <c r="CK8" s="6" t="s">
        <v>7</v>
      </c>
      <c r="CL8" s="6" t="s">
        <v>98</v>
      </c>
    </row>
    <row r="9" spans="1:90">
      <c r="B9" s="1"/>
      <c r="C9" s="1">
        <v>1</v>
      </c>
      <c r="D9" s="1">
        <f>IF(C9="","",INDEX(SPO!$K:$K,Telai!B9))</f>
        <v>0.19500000000000001</v>
      </c>
      <c r="E9" s="3"/>
      <c r="F9" s="3"/>
      <c r="G9" s="1" t="str">
        <f t="shared" ref="G9:G28" si="0">IF(C9&gt;$F$1,"","tel x")</f>
        <v>tel x</v>
      </c>
      <c r="H9" s="3">
        <f>IF(G9="tel x",IF(Dati!$B19="",$CE9,Dati!$B19),"")</f>
        <v>0.15</v>
      </c>
      <c r="I9" s="3">
        <f t="shared" ref="I9:I27" si="1">IF(H10="","",IF(D9*D10&lt;0,H9+(H10-H9)*D9/(D9-D10),(H9+H10)/2))</f>
        <v>2.35</v>
      </c>
      <c r="J9" s="1" t="str">
        <f t="shared" ref="J9:J28" si="2">IF(OR(C9="",C9&lt;=$F$1),"","tel y")</f>
        <v/>
      </c>
      <c r="K9" s="1" t="str">
        <f>IF(J9="tel y",IF(INDEX(Dati!$F$19:$F$30,C9-$F$1)="",F9,INDEX(Dati!$F$19:$F$30,C9-$F$1)),"")</f>
        <v/>
      </c>
      <c r="L9" s="3" t="str">
        <f t="shared" ref="L9:L27" si="3">IF(OR(K10="",K9=""),"",IF(D9*D10&lt;0,K9+(K10-K9)*D9/(D9-D10),(K9+K10)/2))</f>
        <v/>
      </c>
      <c r="O9" s="1"/>
      <c r="P9" s="1">
        <v>1</v>
      </c>
      <c r="Q9" s="1">
        <f>IF(P9="","",INDEX(SPO!$K:$K,Telai!O9))</f>
        <v>0.19500000000000001</v>
      </c>
      <c r="R9" s="3"/>
      <c r="S9" s="3"/>
      <c r="T9" s="1" t="str">
        <f>IF(P9&gt;$F$1,"","tel x")</f>
        <v>tel x</v>
      </c>
      <c r="U9" s="3">
        <f>IF(T9="tel x",IF(Dati!$B19="",$CE9,Dati!$B19),"")</f>
        <v>0.15</v>
      </c>
      <c r="V9" s="3">
        <f>IF(U10="","",IF(Q9*Q10&lt;0,U9+(U10-U9)*Q9/(Q9-Q10),(U9+U10)/2))</f>
        <v>2.35</v>
      </c>
      <c r="W9" s="1" t="str">
        <f>IF(OR(P9="",P9&lt;=$F$1),"","tel y")</f>
        <v/>
      </c>
      <c r="X9" s="1" t="str">
        <f>IF(W9="tel y",IF(INDEX(Dati!$F$19:$F$30,P9-$F$1)="",S9,INDEX(Dati!$F$19:$F$30,P9-$F$1)),"")</f>
        <v/>
      </c>
      <c r="Y9" s="3" t="str">
        <f>IF(OR(X10="",X9=""),"",IF(Q9*Q10&lt;0,X9+(X10-X9)*Q9/(Q9-Q10),(X9+X10)/2))</f>
        <v/>
      </c>
      <c r="AB9" s="1"/>
      <c r="AC9" s="1">
        <v>1</v>
      </c>
      <c r="AD9" s="1">
        <f>IF(AC9="","",INDEX(SPO!$K:$K,Telai!AB9))</f>
        <v>0.19500000000000001</v>
      </c>
      <c r="AE9" s="3"/>
      <c r="AF9" s="3"/>
      <c r="AG9" s="1" t="str">
        <f>IF(AC9&gt;$F$1,"","tel x")</f>
        <v>tel x</v>
      </c>
      <c r="AH9" s="3">
        <f>IF(AG9="tel x",IF(Dati!$B19="",$CE9,Dati!$B19),"")</f>
        <v>0.15</v>
      </c>
      <c r="AI9" s="3">
        <f>IF(AH10="","",IF(AD9*AD10&lt;0,AH9+(AH10-AH9)*AD9/(AD9-AD10),(AH9+AH10)/2))</f>
        <v>2.35</v>
      </c>
      <c r="AJ9" s="1" t="str">
        <f>IF(OR(AC9="",AC9&lt;=$F$1),"","tel y")</f>
        <v/>
      </c>
      <c r="AK9" s="1" t="str">
        <f>IF(AJ9="tel y",IF(INDEX(Dati!$F$19:$F$30,AC9-$F$1)="",AF9,INDEX(Dati!$F$19:$F$30,AC9-$F$1)),"")</f>
        <v/>
      </c>
      <c r="AL9" s="3" t="str">
        <f>IF(OR(AK10="",AK9=""),"",IF(AD9*AD10&lt;0,AK9+(AK10-AK9)*AD9/(AD9-AD10),(AK9+AK10)/2))</f>
        <v/>
      </c>
      <c r="AO9" s="1"/>
      <c r="AP9" s="1">
        <v>1</v>
      </c>
      <c r="AQ9" s="1">
        <f>IF(AP9="","",INDEX(SPO!$K:$K,Telai!AO9))</f>
        <v>0.19500000000000001</v>
      </c>
      <c r="AR9" s="3"/>
      <c r="AS9" s="3"/>
      <c r="AT9" s="1" t="str">
        <f>IF(AP9&gt;$F$1,"","tel x")</f>
        <v>tel x</v>
      </c>
      <c r="AU9" s="3">
        <f>IF(AT9="tel x",IF(Dati!$B19="",$CE9,Dati!$B19),"")</f>
        <v>0.15</v>
      </c>
      <c r="AV9" s="3">
        <f>IF(AU10="","",IF(AQ9*AQ10&lt;0,AU9+(AU10-AU9)*AQ9/(AQ9-AQ10),(AU9+AU10)/2))</f>
        <v>2.35</v>
      </c>
      <c r="AW9" s="1" t="str">
        <f>IF(OR(AP9="",AP9&lt;=$F$1),"","tel y")</f>
        <v/>
      </c>
      <c r="AX9" s="1" t="str">
        <f>IF(AW9="tel y",IF(INDEX(Dati!$F$19:$F$30,AP9-$F$1)="",AS9,INDEX(Dati!$F$19:$F$30,AP9-$F$1)),"")</f>
        <v/>
      </c>
      <c r="AY9" s="3" t="str">
        <f>IF(OR(AX10="",AX9=""),"",IF(AQ9*AQ10&lt;0,AX9+(AX10-AX9)*AQ9/(AQ9-AQ10),(AX9+AX10)/2))</f>
        <v/>
      </c>
      <c r="BB9" s="1"/>
      <c r="BC9" s="1">
        <v>1</v>
      </c>
      <c r="BD9" s="1">
        <f>IF(BC9="","",INDEX(SPO!$K:$K,Telai!BB9))</f>
        <v>0.19500000000000001</v>
      </c>
      <c r="BE9" s="3"/>
      <c r="BF9" s="3"/>
      <c r="BG9" s="1" t="str">
        <f>IF(BC9&gt;$F$1,"","tel x")</f>
        <v>tel x</v>
      </c>
      <c r="BH9" s="3">
        <f>IF(BG9="tel x",IF(Dati!$B19="",$CE9,Dati!$B19),"")</f>
        <v>0.15</v>
      </c>
      <c r="BI9" s="3">
        <f>IF(BH10="","",IF(BD9*BD10&lt;0,BH9+(BH10-BH9)*BD9/(BD9-BD10),(BH9+BH10)/2))</f>
        <v>2.35</v>
      </c>
      <c r="BJ9" s="1" t="str">
        <f>IF(OR(BC9="",BC9&lt;=$F$1),"","tel y")</f>
        <v/>
      </c>
      <c r="BK9" s="1" t="str">
        <f>IF(BJ9="tel y",IF(INDEX(Dati!$F$19:$F$30,BC9-$F$1)="",BF9,INDEX(Dati!$F$19:$F$30,BC9-$F$1)),"")</f>
        <v/>
      </c>
      <c r="BL9" s="3" t="str">
        <f>IF(OR(BK10="",BK9=""),"",IF(BD9*BD10&lt;0,BK9+(BK10-BK9)*BD9/(BD9-BD10),(BK9+BK10)/2))</f>
        <v/>
      </c>
      <c r="BO9" s="1"/>
      <c r="BP9" s="1">
        <v>1</v>
      </c>
      <c r="BQ9" s="1">
        <f>IF(BP9="","",INDEX(SPO!$K:$K,Telai!BO9))</f>
        <v>0.19500000000000001</v>
      </c>
      <c r="BR9" s="3"/>
      <c r="BS9" s="3"/>
      <c r="BT9" s="1" t="str">
        <f>IF(BP9&gt;$F$1,"","tel x")</f>
        <v>tel x</v>
      </c>
      <c r="BU9" s="3">
        <f>IF(BT9="tel x",IF(Dati!$B19="",$CE9,Dati!$B19),"")</f>
        <v>0.15</v>
      </c>
      <c r="BV9" s="3">
        <f>IF(BU10="","",IF(BQ9*BQ10&lt;0,BU9+(BU10-BU9)*BQ9/(BQ9-BQ10),(BU9+BU10)/2))</f>
        <v>2.35</v>
      </c>
      <c r="BW9" s="1" t="str">
        <f>IF(OR(BP9="",BP9&lt;=$F$1),"","tel y")</f>
        <v/>
      </c>
      <c r="BX9" s="1" t="str">
        <f>IF(BW9="tel y",IF(INDEX(Dati!$F$19:$F$30,BP9-$F$1)="",BS9,INDEX(Dati!$F$19:$F$30,BP9-$F$1)),"")</f>
        <v/>
      </c>
      <c r="BY9" s="3" t="str">
        <f>IF(OR(BX10="",BX9=""),"",IF(BQ9*BQ10&lt;0,BX9+(BX10-BX9)*BQ9/(BQ9-BQ10),(BX9+BX10)/2))</f>
        <v/>
      </c>
      <c r="CB9" s="1">
        <f>IF(CC9="","",(CC9-1)*Modi!$B$51+(Modi!$B$51-CA$4)+2)</f>
        <v>2</v>
      </c>
      <c r="CC9" s="1">
        <v>1</v>
      </c>
      <c r="CD9" s="1">
        <f>IF(CC9="","",INDEX(SPO!$K:$K,Telai!CB9))</f>
        <v>1.1359999999999999</v>
      </c>
      <c r="CE9" s="3">
        <f>IF(CC9="","",ROUND((CF$4-CD9)/CF$6,2))</f>
        <v>0.15</v>
      </c>
      <c r="CF9" s="3">
        <f>IF(CC9="","",ROUND(-(CF$5-CD9)/CF$6,2))</f>
        <v>14.1</v>
      </c>
      <c r="CG9" s="1" t="str">
        <f>IF(CC9="","","tel x")</f>
        <v>tel x</v>
      </c>
      <c r="CH9" s="3">
        <f>IF(CG9="tel x",CE9,"")</f>
        <v>0.15</v>
      </c>
      <c r="CI9" s="3">
        <f>IF(CH10="","",IF(CD9*CD10&lt;0,CH9+(CH10-CH9)*CD9/(CD9-CD10),(CH9+CH10)/2))</f>
        <v>2.35</v>
      </c>
      <c r="CJ9" s="1" t="str">
        <f t="shared" ref="CJ9:CJ21" si="4">IF(AND(CC9&lt;&gt;"",CG9=""),"tel y","")</f>
        <v/>
      </c>
      <c r="CK9" s="1" t="str">
        <f t="shared" ref="CK9:CK21" si="5">IF(CJ9="tel y",CF9,"")</f>
        <v/>
      </c>
      <c r="CL9" s="3" t="str">
        <f>IF(OR(CK10="",CK9=""),"",IF(CD9*CD10&lt;0,CK9+(CK10-CK9)*CD9/(CD9-CD10),(CK9+CK10)/2))</f>
        <v/>
      </c>
    </row>
    <row r="10" spans="1:90">
      <c r="B10" s="1"/>
      <c r="C10" s="1">
        <f t="shared" ref="C10:C28" si="6">IF(C9&lt;$C$1,C9+1,"")</f>
        <v>2</v>
      </c>
      <c r="D10" s="1">
        <f>IF(C10="","",INDEX(SPO!$K:$K,Telai!B10))</f>
        <v>0.13600000000000001</v>
      </c>
      <c r="E10" s="3"/>
      <c r="F10" s="3"/>
      <c r="G10" s="1" t="str">
        <f t="shared" si="0"/>
        <v>tel x</v>
      </c>
      <c r="H10" s="3">
        <f>IF(G10="tel x",IF(Dati!$B20="",$CE10,Dati!$B20),"")</f>
        <v>4.55</v>
      </c>
      <c r="I10" s="3">
        <f t="shared" si="1"/>
        <v>6.65</v>
      </c>
      <c r="J10" s="1" t="str">
        <f t="shared" si="2"/>
        <v/>
      </c>
      <c r="K10" s="1" t="str">
        <f>IF(J10="tel y",IF(INDEX(Dati!$F$19:$F$30,C10-$F$1)="",F10,INDEX(Dati!$F$19:$F$30,C10-$F$1)),"")</f>
        <v/>
      </c>
      <c r="L10" s="3" t="str">
        <f t="shared" si="3"/>
        <v/>
      </c>
      <c r="O10" s="1"/>
      <c r="P10" s="1">
        <f t="shared" ref="P10:P28" si="7">IF(P9&lt;$C$1,P9+1,"")</f>
        <v>2</v>
      </c>
      <c r="Q10" s="1">
        <f>IF(P10="","",INDEX(SPO!$K:$K,Telai!O10))</f>
        <v>0.13600000000000001</v>
      </c>
      <c r="R10" s="3"/>
      <c r="S10" s="3"/>
      <c r="T10" s="1" t="str">
        <f t="shared" ref="T10:T28" si="8">IF(P10&gt;$F$1,"","tel x")</f>
        <v>tel x</v>
      </c>
      <c r="U10" s="3">
        <f>IF(T10="tel x",IF(Dati!$B20="",$CE10,Dati!$B20),"")</f>
        <v>4.55</v>
      </c>
      <c r="V10" s="3">
        <f>IF(U11="","",IF(Q10*Q11&lt;0,U10+(U11-U10)*Q10/(Q10-Q11),(U10+U11)/2))</f>
        <v>6.65</v>
      </c>
      <c r="W10" s="1" t="str">
        <f t="shared" ref="W10:W28" si="9">IF(OR(P10="",P10&lt;=$F$1),"","tel y")</f>
        <v/>
      </c>
      <c r="X10" s="1" t="str">
        <f>IF(W10="tel y",IF(INDEX(Dati!$F$19:$F$30,P10-$F$1)="",S10,INDEX(Dati!$F$19:$F$30,P10-$F$1)),"")</f>
        <v/>
      </c>
      <c r="Y10" s="3" t="str">
        <f t="shared" ref="Y10:Y27" si="10">IF(OR(X11="",X10=""),"",IF(Q10*Q11&lt;0,X10+(X11-X10)*Q10/(Q10-Q11),(X10+X11)/2))</f>
        <v/>
      </c>
      <c r="AB10" s="1"/>
      <c r="AC10" s="1">
        <f t="shared" ref="AC10:AC28" si="11">IF(AC9&lt;$C$1,AC9+1,"")</f>
        <v>2</v>
      </c>
      <c r="AD10" s="1">
        <f>IF(AC10="","",INDEX(SPO!$K:$K,Telai!AB10))</f>
        <v>0.13600000000000001</v>
      </c>
      <c r="AE10" s="3"/>
      <c r="AF10" s="3"/>
      <c r="AG10" s="1" t="str">
        <f t="shared" ref="AG10:AG28" si="12">IF(AC10&gt;$F$1,"","tel x")</f>
        <v>tel x</v>
      </c>
      <c r="AH10" s="3">
        <f>IF(AG10="tel x",IF(Dati!$B20="",$CE10,Dati!$B20),"")</f>
        <v>4.55</v>
      </c>
      <c r="AI10" s="3">
        <f>IF(AH11="","",IF(AD10*AD11&lt;0,AH10+(AH11-AH10)*AD10/(AD10-AD11),(AH10+AH11)/2))</f>
        <v>6.65</v>
      </c>
      <c r="AJ10" s="1" t="str">
        <f t="shared" ref="AJ10:AJ28" si="13">IF(OR(AC10="",AC10&lt;=$F$1),"","tel y")</f>
        <v/>
      </c>
      <c r="AK10" s="1" t="str">
        <f>IF(AJ10="tel y",IF(INDEX(Dati!$F$19:$F$30,AC10-$F$1)="",AF10,INDEX(Dati!$F$19:$F$30,AC10-$F$1)),"")</f>
        <v/>
      </c>
      <c r="AL10" s="3" t="str">
        <f t="shared" ref="AL10:AL27" si="14">IF(OR(AK11="",AK10=""),"",IF(AD10*AD11&lt;0,AK10+(AK11-AK10)*AD10/(AD10-AD11),(AK10+AK11)/2))</f>
        <v/>
      </c>
      <c r="AO10" s="1"/>
      <c r="AP10" s="1">
        <f t="shared" ref="AP10:AP28" si="15">IF(AP9&lt;$C$1,AP9+1,"")</f>
        <v>2</v>
      </c>
      <c r="AQ10" s="1">
        <f>IF(AP10="","",INDEX(SPO!$K:$K,Telai!AO10))</f>
        <v>0.13600000000000001</v>
      </c>
      <c r="AR10" s="3"/>
      <c r="AS10" s="3"/>
      <c r="AT10" s="1" t="str">
        <f t="shared" ref="AT10:AT28" si="16">IF(AP10&gt;$F$1,"","tel x")</f>
        <v>tel x</v>
      </c>
      <c r="AU10" s="3">
        <f>IF(AT10="tel x",IF(Dati!$B20="",$CE10,Dati!$B20),"")</f>
        <v>4.55</v>
      </c>
      <c r="AV10" s="3">
        <f>IF(AU11="","",IF(AQ10*AQ11&lt;0,AU10+(AU11-AU10)*AQ10/(AQ10-AQ11),(AU10+AU11)/2))</f>
        <v>6.65</v>
      </c>
      <c r="AW10" s="1" t="str">
        <f t="shared" ref="AW10:AW28" si="17">IF(OR(AP10="",AP10&lt;=$F$1),"","tel y")</f>
        <v/>
      </c>
      <c r="AX10" s="1" t="str">
        <f>IF(AW10="tel y",IF(INDEX(Dati!$F$19:$F$30,AP10-$F$1)="",AS10,INDEX(Dati!$F$19:$F$30,AP10-$F$1)),"")</f>
        <v/>
      </c>
      <c r="AY10" s="3" t="str">
        <f t="shared" ref="AY10:AY27" si="18">IF(OR(AX11="",AX10=""),"",IF(AQ10*AQ11&lt;0,AX10+(AX11-AX10)*AQ10/(AQ10-AQ11),(AX10+AX11)/2))</f>
        <v/>
      </c>
      <c r="BB10" s="1"/>
      <c r="BC10" s="1">
        <f t="shared" ref="BC10:BC28" si="19">IF(BC9&lt;$C$1,BC9+1,"")</f>
        <v>2</v>
      </c>
      <c r="BD10" s="1">
        <f>IF(BC10="","",INDEX(SPO!$K:$K,Telai!BB10))</f>
        <v>0.13600000000000001</v>
      </c>
      <c r="BE10" s="3"/>
      <c r="BF10" s="3"/>
      <c r="BG10" s="1" t="str">
        <f t="shared" ref="BG10:BG28" si="20">IF(BC10&gt;$F$1,"","tel x")</f>
        <v>tel x</v>
      </c>
      <c r="BH10" s="3">
        <f>IF(BG10="tel x",IF(Dati!$B20="",$CE10,Dati!$B20),"")</f>
        <v>4.55</v>
      </c>
      <c r="BI10" s="3">
        <f>IF(BH11="","",IF(BD10*BD11&lt;0,BH10+(BH11-BH10)*BD10/(BD10-BD11),(BH10+BH11)/2))</f>
        <v>6.65</v>
      </c>
      <c r="BJ10" s="1" t="str">
        <f t="shared" ref="BJ10:BJ28" si="21">IF(OR(BC10="",BC10&lt;=$F$1),"","tel y")</f>
        <v/>
      </c>
      <c r="BK10" s="1" t="str">
        <f>IF(BJ10="tel y",IF(INDEX(Dati!$F$19:$F$30,BC10-$F$1)="",BF10,INDEX(Dati!$F$19:$F$30,BC10-$F$1)),"")</f>
        <v/>
      </c>
      <c r="BL10" s="3" t="str">
        <f t="shared" ref="BL10:BL27" si="22">IF(OR(BK11="",BK10=""),"",IF(BD10*BD11&lt;0,BK10+(BK11-BK10)*BD10/(BD10-BD11),(BK10+BK11)/2))</f>
        <v/>
      </c>
      <c r="BO10" s="1"/>
      <c r="BP10" s="1">
        <f t="shared" ref="BP10:BP28" si="23">IF(BP9&lt;$C$1,BP9+1,"")</f>
        <v>2</v>
      </c>
      <c r="BQ10" s="1">
        <f>IF(BP10="","",INDEX(SPO!$K:$K,Telai!BO10))</f>
        <v>0.13600000000000001</v>
      </c>
      <c r="BR10" s="3"/>
      <c r="BS10" s="3"/>
      <c r="BT10" s="1" t="str">
        <f t="shared" ref="BT10:BT28" si="24">IF(BP10&gt;$F$1,"","tel x")</f>
        <v>tel x</v>
      </c>
      <c r="BU10" s="3">
        <f>IF(BT10="tel x",IF(Dati!$B20="",$CE10,Dati!$B20),"")</f>
        <v>4.55</v>
      </c>
      <c r="BV10" s="3">
        <f>IF(BU11="","",IF(BQ10*BQ11&lt;0,BU10+(BU11-BU10)*BQ10/(BQ10-BQ11),(BU10+BU11)/2))</f>
        <v>6.65</v>
      </c>
      <c r="BW10" s="1" t="str">
        <f t="shared" ref="BW10:BW28" si="25">IF(OR(BP10="",BP10&lt;=$F$1),"","tel y")</f>
        <v/>
      </c>
      <c r="BX10" s="1" t="str">
        <f>IF(BW10="tel y",IF(INDEX(Dati!$F$19:$F$30,BP10-$F$1)="",BS10,INDEX(Dati!$F$19:$F$30,BP10-$F$1)),"")</f>
        <v/>
      </c>
      <c r="BY10" s="3" t="str">
        <f t="shared" ref="BY10:BY27" si="26">IF(OR(BX11="",BX10=""),"",IF(BQ10*BQ11&lt;0,BX10+(BX11-BX10)*BQ10/(BQ10-BQ11),(BX10+BX11)/2))</f>
        <v/>
      </c>
      <c r="CB10" s="1">
        <f>IF(CC10="","",(CC10-1)*Modi!$B$51+(Modi!$B$51-CA$4)+2)</f>
        <v>7</v>
      </c>
      <c r="CC10" s="1">
        <f t="shared" ref="CC10:CC21" si="27">IF(CC9&lt;$C$1,CC9+1,"")</f>
        <v>2</v>
      </c>
      <c r="CD10" s="1">
        <f>IF(CC10="","",INDEX(SPO!$K:$K,Telai!CB10))</f>
        <v>0.26500000000000001</v>
      </c>
      <c r="CE10" s="3">
        <f t="shared" ref="CE10:CE21" si="28">IF(CC10="","",ROUND((CF$4-CD10)/CF$6,2))</f>
        <v>4.55</v>
      </c>
      <c r="CF10" s="3">
        <f t="shared" ref="CF10:CF21" si="29">IF(CC10="","",ROUND(-(CF$5-CD10)/CF$6,2))</f>
        <v>9.6999999999999993</v>
      </c>
      <c r="CG10" s="1" t="str">
        <f t="shared" ref="CG10:CG21" si="30">IF(CC10="","",IF(CF10&lt;CF9,"tel x",""))</f>
        <v>tel x</v>
      </c>
      <c r="CH10" s="3">
        <f t="shared" ref="CH10:CH21" si="31">IF(CG10="tel x",CE10,"")</f>
        <v>4.55</v>
      </c>
      <c r="CI10" s="3">
        <f>IF(CH11="","",IF(CD10*CD11&lt;0,CH10+(CH11-CH10)*CD10/(CD10-CD11),(CH10+CH11)/2))</f>
        <v>5.8877403846153848</v>
      </c>
      <c r="CJ10" s="1" t="str">
        <f t="shared" si="4"/>
        <v/>
      </c>
      <c r="CK10" s="1" t="str">
        <f t="shared" si="5"/>
        <v/>
      </c>
      <c r="CL10" s="3" t="str">
        <f t="shared" ref="CL10:CL21" si="32">IF(OR(CK11="",CK10=""),"",IF(CD10*CD11&lt;0,CK10+(CK11-CK10)*CD10/(CD10-CD11),(CK10+CK11)/2))</f>
        <v/>
      </c>
    </row>
    <row r="11" spans="1:90">
      <c r="B11" s="1"/>
      <c r="C11" s="1">
        <f t="shared" si="6"/>
        <v>3</v>
      </c>
      <c r="D11" s="1">
        <f>IF(C11="","",INDEX(SPO!$K:$K,Telai!B11))</f>
        <v>6.7000000000000004E-2</v>
      </c>
      <c r="E11" s="3"/>
      <c r="F11" s="3"/>
      <c r="G11" s="1" t="str">
        <f t="shared" si="0"/>
        <v>tel x</v>
      </c>
      <c r="H11" s="3">
        <f>IF(G11="tel x",IF(Dati!$B21="",$CE11,Dati!$B21),"")</f>
        <v>8.75</v>
      </c>
      <c r="I11" s="3">
        <f t="shared" si="1"/>
        <v>9.1198738170346996</v>
      </c>
      <c r="J11" s="1" t="str">
        <f t="shared" si="2"/>
        <v/>
      </c>
      <c r="K11" s="1" t="str">
        <f>IF(J11="tel y",IF(INDEX(Dati!$F$19:$F$30,C11-$F$1)="",F11,INDEX(Dati!$F$19:$F$30,C11-$F$1)),"")</f>
        <v/>
      </c>
      <c r="L11" s="3" t="str">
        <f t="shared" si="3"/>
        <v/>
      </c>
      <c r="O11" s="1"/>
      <c r="P11" s="1">
        <f t="shared" si="7"/>
        <v>3</v>
      </c>
      <c r="Q11" s="1">
        <f>IF(P11="","",INDEX(SPO!$K:$K,Telai!O11))</f>
        <v>6.7000000000000004E-2</v>
      </c>
      <c r="R11" s="3"/>
      <c r="S11" s="3"/>
      <c r="T11" s="1" t="str">
        <f t="shared" si="8"/>
        <v>tel x</v>
      </c>
      <c r="U11" s="3">
        <f>IF(T11="tel x",IF(Dati!$B21="",$CE11,Dati!$B21),"")</f>
        <v>8.75</v>
      </c>
      <c r="V11" s="3">
        <f t="shared" ref="V11:V27" si="33">IF(U12="","",IF(Q11*Q12&lt;0,U11+(U12-U11)*Q11/(Q11-Q12),(U11+U12)/2))</f>
        <v>9.1198738170346996</v>
      </c>
      <c r="W11" s="1" t="str">
        <f t="shared" si="9"/>
        <v/>
      </c>
      <c r="X11" s="1" t="str">
        <f>IF(W11="tel y",IF(INDEX(Dati!$F$19:$F$30,P11-$F$1)="",S11,INDEX(Dati!$F$19:$F$30,P11-$F$1)),"")</f>
        <v/>
      </c>
      <c r="Y11" s="3" t="str">
        <f t="shared" si="10"/>
        <v/>
      </c>
      <c r="AB11" s="1"/>
      <c r="AC11" s="1">
        <f t="shared" si="11"/>
        <v>3</v>
      </c>
      <c r="AD11" s="1">
        <f>IF(AC11="","",INDEX(SPO!$K:$K,Telai!AB11))</f>
        <v>6.7000000000000004E-2</v>
      </c>
      <c r="AE11" s="3"/>
      <c r="AF11" s="3"/>
      <c r="AG11" s="1" t="str">
        <f t="shared" si="12"/>
        <v>tel x</v>
      </c>
      <c r="AH11" s="3">
        <f>IF(AG11="tel x",IF(Dati!$B21="",$CE11,Dati!$B21),"")</f>
        <v>8.75</v>
      </c>
      <c r="AI11" s="3">
        <f t="shared" ref="AI11:AI27" si="34">IF(AH12="","",IF(AD11*AD12&lt;0,AH11+(AH12-AH11)*AD11/(AD11-AD12),(AH11+AH12)/2))</f>
        <v>9.1198738170346996</v>
      </c>
      <c r="AJ11" s="1" t="str">
        <f t="shared" si="13"/>
        <v/>
      </c>
      <c r="AK11" s="1" t="str">
        <f>IF(AJ11="tel y",IF(INDEX(Dati!$F$19:$F$30,AC11-$F$1)="",AF11,INDEX(Dati!$F$19:$F$30,AC11-$F$1)),"")</f>
        <v/>
      </c>
      <c r="AL11" s="3" t="str">
        <f t="shared" si="14"/>
        <v/>
      </c>
      <c r="AO11" s="1"/>
      <c r="AP11" s="1">
        <f t="shared" si="15"/>
        <v>3</v>
      </c>
      <c r="AQ11" s="1">
        <f>IF(AP11="","",INDEX(SPO!$K:$K,Telai!AO11))</f>
        <v>6.7000000000000004E-2</v>
      </c>
      <c r="AR11" s="3"/>
      <c r="AS11" s="3"/>
      <c r="AT11" s="1" t="str">
        <f t="shared" si="16"/>
        <v>tel x</v>
      </c>
      <c r="AU11" s="3">
        <f>IF(AT11="tel x",IF(Dati!$B21="",$CE11,Dati!$B21),"")</f>
        <v>8.75</v>
      </c>
      <c r="AV11" s="3">
        <f t="shared" ref="AV11:AV27" si="35">IF(AU12="","",IF(AQ11*AQ12&lt;0,AU11+(AU12-AU11)*AQ11/(AQ11-AQ12),(AU11+AU12)/2))</f>
        <v>9.1198738170346996</v>
      </c>
      <c r="AW11" s="1" t="str">
        <f t="shared" si="17"/>
        <v/>
      </c>
      <c r="AX11" s="1" t="str">
        <f>IF(AW11="tel y",IF(INDEX(Dati!$F$19:$F$30,AP11-$F$1)="",AS11,INDEX(Dati!$F$19:$F$30,AP11-$F$1)),"")</f>
        <v/>
      </c>
      <c r="AY11" s="3" t="str">
        <f t="shared" si="18"/>
        <v/>
      </c>
      <c r="BB11" s="1"/>
      <c r="BC11" s="1">
        <f t="shared" si="19"/>
        <v>3</v>
      </c>
      <c r="BD11" s="1">
        <f>IF(BC11="","",INDEX(SPO!$K:$K,Telai!BB11))</f>
        <v>6.7000000000000004E-2</v>
      </c>
      <c r="BE11" s="3"/>
      <c r="BF11" s="3"/>
      <c r="BG11" s="1" t="str">
        <f t="shared" si="20"/>
        <v>tel x</v>
      </c>
      <c r="BH11" s="3">
        <f>IF(BG11="tel x",IF(Dati!$B21="",$CE11,Dati!$B21),"")</f>
        <v>8.75</v>
      </c>
      <c r="BI11" s="3">
        <f t="shared" ref="BI11:BI27" si="36">IF(BH12="","",IF(BD11*BD12&lt;0,BH11+(BH12-BH11)*BD11/(BD11-BD12),(BH11+BH12)/2))</f>
        <v>9.1198738170346996</v>
      </c>
      <c r="BJ11" s="1" t="str">
        <f t="shared" si="21"/>
        <v/>
      </c>
      <c r="BK11" s="1" t="str">
        <f>IF(BJ11="tel y",IF(INDEX(Dati!$F$19:$F$30,BC11-$F$1)="",BF11,INDEX(Dati!$F$19:$F$30,BC11-$F$1)),"")</f>
        <v/>
      </c>
      <c r="BL11" s="3" t="str">
        <f t="shared" si="22"/>
        <v/>
      </c>
      <c r="BO11" s="1"/>
      <c r="BP11" s="1">
        <f t="shared" si="23"/>
        <v>3</v>
      </c>
      <c r="BQ11" s="1">
        <f>IF(BP11="","",INDEX(SPO!$K:$K,Telai!BO11))</f>
        <v>6.7000000000000004E-2</v>
      </c>
      <c r="BR11" s="3"/>
      <c r="BS11" s="3"/>
      <c r="BT11" s="1" t="str">
        <f t="shared" si="24"/>
        <v>tel x</v>
      </c>
      <c r="BU11" s="3">
        <f>IF(BT11="tel x",IF(Dati!$B21="",$CE11,Dati!$B21),"")</f>
        <v>8.75</v>
      </c>
      <c r="BV11" s="3">
        <f t="shared" ref="BV11:BV27" si="37">IF(BU12="","",IF(BQ11*BQ12&lt;0,BU11+(BU12-BU11)*BQ11/(BQ11-BQ12),(BU11+BU12)/2))</f>
        <v>9.1198738170346996</v>
      </c>
      <c r="BW11" s="1" t="str">
        <f t="shared" si="25"/>
        <v/>
      </c>
      <c r="BX11" s="1" t="str">
        <f>IF(BW11="tel y",IF(INDEX(Dati!$F$19:$F$30,BP11-$F$1)="",BS11,INDEX(Dati!$F$19:$F$30,BP11-$F$1)),"")</f>
        <v/>
      </c>
      <c r="BY11" s="3" t="str">
        <f t="shared" si="26"/>
        <v/>
      </c>
      <c r="CB11" s="1">
        <f>IF(CC11="","",(CC11-1)*Modi!$B$51+(Modi!$B$51-CA$4)+2)</f>
        <v>12</v>
      </c>
      <c r="CC11" s="1">
        <f t="shared" si="27"/>
        <v>3</v>
      </c>
      <c r="CD11" s="1">
        <f>IF(CC11="","",INDEX(SPO!$K:$K,Telai!CB11))</f>
        <v>-0.56699999999999995</v>
      </c>
      <c r="CE11" s="3">
        <f t="shared" si="28"/>
        <v>8.75</v>
      </c>
      <c r="CF11" s="3">
        <f t="shared" si="29"/>
        <v>5.49</v>
      </c>
      <c r="CG11" s="1" t="str">
        <f t="shared" si="30"/>
        <v>tel x</v>
      </c>
      <c r="CH11" s="3">
        <f t="shared" si="31"/>
        <v>8.75</v>
      </c>
      <c r="CI11" s="3">
        <f t="shared" ref="CI11:CI21" si="38">IF(CH12="","",IF(CD11*CD12&lt;0,CH11+(CH12-CH11)*CD11/(CD11-CD12),(CH11+CH12)/2))</f>
        <v>10.495000000000001</v>
      </c>
      <c r="CJ11" s="1" t="str">
        <f t="shared" si="4"/>
        <v/>
      </c>
      <c r="CK11" s="1" t="str">
        <f t="shared" si="5"/>
        <v/>
      </c>
      <c r="CL11" s="3" t="str">
        <f t="shared" si="32"/>
        <v/>
      </c>
    </row>
    <row r="12" spans="1:90">
      <c r="B12" s="1"/>
      <c r="C12" s="1">
        <f t="shared" si="6"/>
        <v>4</v>
      </c>
      <c r="D12" s="1">
        <f>IF(C12="","",INDEX(SPO!$K:$K,Telai!B12))</f>
        <v>-0.56699999999999995</v>
      </c>
      <c r="E12" s="3"/>
      <c r="F12" s="3"/>
      <c r="G12" s="1" t="str">
        <f t="shared" si="0"/>
        <v>tel x</v>
      </c>
      <c r="H12" s="3">
        <f>IF(G12="tel x",IF(Dati!$B22="",$CE12,Dati!$B22),"")</f>
        <v>12.25</v>
      </c>
      <c r="I12" s="3">
        <f t="shared" si="1"/>
        <v>14.05</v>
      </c>
      <c r="J12" s="1" t="str">
        <f t="shared" si="2"/>
        <v/>
      </c>
      <c r="K12" s="1" t="str">
        <f>IF(J12="tel y",IF(INDEX(Dati!$F$19:$F$30,C12-$F$1)="",F12,INDEX(Dati!$F$19:$F$30,C12-$F$1)),"")</f>
        <v/>
      </c>
      <c r="L12" s="3" t="str">
        <f t="shared" si="3"/>
        <v/>
      </c>
      <c r="O12" s="1"/>
      <c r="P12" s="1">
        <f t="shared" si="7"/>
        <v>4</v>
      </c>
      <c r="Q12" s="1">
        <f>IF(P12="","",INDEX(SPO!$K:$K,Telai!O12))</f>
        <v>-0.56699999999999995</v>
      </c>
      <c r="R12" s="3"/>
      <c r="S12" s="3"/>
      <c r="T12" s="1" t="str">
        <f t="shared" si="8"/>
        <v>tel x</v>
      </c>
      <c r="U12" s="3">
        <f>IF(T12="tel x",IF(Dati!$B22="",$CE12,Dati!$B22),"")</f>
        <v>12.25</v>
      </c>
      <c r="V12" s="3">
        <f t="shared" si="33"/>
        <v>14.05</v>
      </c>
      <c r="W12" s="1" t="str">
        <f t="shared" si="9"/>
        <v/>
      </c>
      <c r="X12" s="1" t="str">
        <f>IF(W12="tel y",IF(INDEX(Dati!$F$19:$F$30,P12-$F$1)="",S12,INDEX(Dati!$F$19:$F$30,P12-$F$1)),"")</f>
        <v/>
      </c>
      <c r="Y12" s="3" t="str">
        <f t="shared" si="10"/>
        <v/>
      </c>
      <c r="AB12" s="1"/>
      <c r="AC12" s="1">
        <f t="shared" si="11"/>
        <v>4</v>
      </c>
      <c r="AD12" s="1">
        <f>IF(AC12="","",INDEX(SPO!$K:$K,Telai!AB12))</f>
        <v>-0.56699999999999995</v>
      </c>
      <c r="AE12" s="3"/>
      <c r="AF12" s="3"/>
      <c r="AG12" s="1" t="str">
        <f t="shared" si="12"/>
        <v>tel x</v>
      </c>
      <c r="AH12" s="3">
        <f>IF(AG12="tel x",IF(Dati!$B22="",$CE12,Dati!$B22),"")</f>
        <v>12.25</v>
      </c>
      <c r="AI12" s="3">
        <f t="shared" si="34"/>
        <v>14.05</v>
      </c>
      <c r="AJ12" s="1" t="str">
        <f t="shared" si="13"/>
        <v/>
      </c>
      <c r="AK12" s="1" t="str">
        <f>IF(AJ12="tel y",IF(INDEX(Dati!$F$19:$F$30,AC12-$F$1)="",AF12,INDEX(Dati!$F$19:$F$30,AC12-$F$1)),"")</f>
        <v/>
      </c>
      <c r="AL12" s="3" t="str">
        <f t="shared" si="14"/>
        <v/>
      </c>
      <c r="AO12" s="1"/>
      <c r="AP12" s="1">
        <f t="shared" si="15"/>
        <v>4</v>
      </c>
      <c r="AQ12" s="1">
        <f>IF(AP12="","",INDEX(SPO!$K:$K,Telai!AO12))</f>
        <v>-0.56699999999999995</v>
      </c>
      <c r="AR12" s="3"/>
      <c r="AS12" s="3"/>
      <c r="AT12" s="1" t="str">
        <f t="shared" si="16"/>
        <v>tel x</v>
      </c>
      <c r="AU12" s="3">
        <f>IF(AT12="tel x",IF(Dati!$B22="",$CE12,Dati!$B22),"")</f>
        <v>12.25</v>
      </c>
      <c r="AV12" s="3">
        <f t="shared" si="35"/>
        <v>14.05</v>
      </c>
      <c r="AW12" s="1" t="str">
        <f t="shared" si="17"/>
        <v/>
      </c>
      <c r="AX12" s="1" t="str">
        <f>IF(AW12="tel y",IF(INDEX(Dati!$F$19:$F$30,AP12-$F$1)="",AS12,INDEX(Dati!$F$19:$F$30,AP12-$F$1)),"")</f>
        <v/>
      </c>
      <c r="AY12" s="3" t="str">
        <f t="shared" si="18"/>
        <v/>
      </c>
      <c r="BB12" s="1"/>
      <c r="BC12" s="1">
        <f t="shared" si="19"/>
        <v>4</v>
      </c>
      <c r="BD12" s="1">
        <f>IF(BC12="","",INDEX(SPO!$K:$K,Telai!BB12))</f>
        <v>-0.56699999999999995</v>
      </c>
      <c r="BE12" s="3"/>
      <c r="BF12" s="3"/>
      <c r="BG12" s="1" t="str">
        <f t="shared" si="20"/>
        <v>tel x</v>
      </c>
      <c r="BH12" s="3">
        <f>IF(BG12="tel x",IF(Dati!$B22="",$CE12,Dati!$B22),"")</f>
        <v>12.25</v>
      </c>
      <c r="BI12" s="3">
        <f t="shared" si="36"/>
        <v>14.05</v>
      </c>
      <c r="BJ12" s="1" t="str">
        <f t="shared" si="21"/>
        <v/>
      </c>
      <c r="BK12" s="1" t="str">
        <f>IF(BJ12="tel y",IF(INDEX(Dati!$F$19:$F$30,BC12-$F$1)="",BF12,INDEX(Dati!$F$19:$F$30,BC12-$F$1)),"")</f>
        <v/>
      </c>
      <c r="BL12" s="3" t="str">
        <f t="shared" si="22"/>
        <v/>
      </c>
      <c r="BO12" s="1"/>
      <c r="BP12" s="1">
        <f t="shared" si="23"/>
        <v>4</v>
      </c>
      <c r="BQ12" s="1">
        <f>IF(BP12="","",INDEX(SPO!$K:$K,Telai!BO12))</f>
        <v>-0.56699999999999995</v>
      </c>
      <c r="BR12" s="3"/>
      <c r="BS12" s="3"/>
      <c r="BT12" s="1" t="str">
        <f t="shared" si="24"/>
        <v>tel x</v>
      </c>
      <c r="BU12" s="3">
        <f>IF(BT12="tel x",IF(Dati!$B22="",$CE12,Dati!$B22),"")</f>
        <v>12.25</v>
      </c>
      <c r="BV12" s="3">
        <f t="shared" si="37"/>
        <v>14.05</v>
      </c>
      <c r="BW12" s="1" t="str">
        <f t="shared" si="25"/>
        <v/>
      </c>
      <c r="BX12" s="1" t="str">
        <f>IF(BW12="tel y",IF(INDEX(Dati!$F$19:$F$30,BP12-$F$1)="",BS12,INDEX(Dati!$F$19:$F$30,BP12-$F$1)),"")</f>
        <v/>
      </c>
      <c r="BY12" s="3" t="str">
        <f t="shared" si="26"/>
        <v/>
      </c>
      <c r="CB12" s="1">
        <f>IF(CC12="","",(CC12-1)*Modi!$B$51+(Modi!$B$51-CA$4)+2)</f>
        <v>17</v>
      </c>
      <c r="CC12" s="1">
        <f t="shared" si="27"/>
        <v>4</v>
      </c>
      <c r="CD12" s="1">
        <f>IF(CC12="","",INDEX(SPO!$K:$K,Telai!CB12))</f>
        <v>-1.2589999999999999</v>
      </c>
      <c r="CE12" s="3">
        <f t="shared" si="28"/>
        <v>12.24</v>
      </c>
      <c r="CF12" s="3">
        <f t="shared" si="29"/>
        <v>2</v>
      </c>
      <c r="CG12" s="1" t="str">
        <f t="shared" si="30"/>
        <v>tel x</v>
      </c>
      <c r="CH12" s="3">
        <f t="shared" si="31"/>
        <v>12.24</v>
      </c>
      <c r="CI12" s="3">
        <f t="shared" si="38"/>
        <v>14.04</v>
      </c>
      <c r="CJ12" s="1" t="str">
        <f t="shared" si="4"/>
        <v/>
      </c>
      <c r="CK12" s="1" t="str">
        <f t="shared" si="5"/>
        <v/>
      </c>
      <c r="CL12" s="3" t="str">
        <f t="shared" si="32"/>
        <v/>
      </c>
    </row>
    <row r="13" spans="1:90">
      <c r="B13" s="1"/>
      <c r="C13" s="1">
        <f t="shared" si="6"/>
        <v>5</v>
      </c>
      <c r="D13" s="1">
        <f>IF(C13="","",INDEX(SPO!$K:$K,Telai!B13))</f>
        <v>-0.49199999999999999</v>
      </c>
      <c r="E13" s="3"/>
      <c r="F13" s="3"/>
      <c r="G13" s="1" t="str">
        <f t="shared" si="0"/>
        <v>tel x</v>
      </c>
      <c r="H13" s="3">
        <f>IF(G13="tel x",IF(Dati!$B23="",$CE13,Dati!$B23),"")</f>
        <v>15.85</v>
      </c>
      <c r="I13" s="3" t="str">
        <f t="shared" si="1"/>
        <v/>
      </c>
      <c r="J13" s="1" t="str">
        <f t="shared" si="2"/>
        <v/>
      </c>
      <c r="K13" s="1" t="str">
        <f>IF(J13="tel y",IF(INDEX(Dati!$F$19:$F$30,C13-$F$1)="",F13,INDEX(Dati!$F$19:$F$30,C13-$F$1)),"")</f>
        <v/>
      </c>
      <c r="L13" s="3" t="str">
        <f t="shared" si="3"/>
        <v/>
      </c>
      <c r="O13" s="1"/>
      <c r="P13" s="1">
        <f t="shared" si="7"/>
        <v>5</v>
      </c>
      <c r="Q13" s="1">
        <f>IF(P13="","",INDEX(SPO!$K:$K,Telai!O13))</f>
        <v>-0.49199999999999999</v>
      </c>
      <c r="R13" s="3"/>
      <c r="S13" s="3"/>
      <c r="T13" s="1" t="str">
        <f t="shared" si="8"/>
        <v>tel x</v>
      </c>
      <c r="U13" s="3">
        <f>IF(T13="tel x",IF(Dati!$B23="",$CE13,Dati!$B23),"")</f>
        <v>15.85</v>
      </c>
      <c r="V13" s="3" t="str">
        <f t="shared" si="33"/>
        <v/>
      </c>
      <c r="W13" s="1" t="str">
        <f t="shared" si="9"/>
        <v/>
      </c>
      <c r="X13" s="1" t="str">
        <f>IF(W13="tel y",IF(INDEX(Dati!$F$19:$F$30,P13-$F$1)="",S13,INDEX(Dati!$F$19:$F$30,P13-$F$1)),"")</f>
        <v/>
      </c>
      <c r="Y13" s="3" t="str">
        <f t="shared" si="10"/>
        <v/>
      </c>
      <c r="AB13" s="1"/>
      <c r="AC13" s="1">
        <f t="shared" si="11"/>
        <v>5</v>
      </c>
      <c r="AD13" s="1">
        <f>IF(AC13="","",INDEX(SPO!$K:$K,Telai!AB13))</f>
        <v>-0.49199999999999999</v>
      </c>
      <c r="AE13" s="3"/>
      <c r="AF13" s="3"/>
      <c r="AG13" s="1" t="str">
        <f t="shared" si="12"/>
        <v>tel x</v>
      </c>
      <c r="AH13" s="3">
        <f>IF(AG13="tel x",IF(Dati!$B23="",$CE13,Dati!$B23),"")</f>
        <v>15.85</v>
      </c>
      <c r="AI13" s="3" t="str">
        <f t="shared" si="34"/>
        <v/>
      </c>
      <c r="AJ13" s="1" t="str">
        <f t="shared" si="13"/>
        <v/>
      </c>
      <c r="AK13" s="1" t="str">
        <f>IF(AJ13="tel y",IF(INDEX(Dati!$F$19:$F$30,AC13-$F$1)="",AF13,INDEX(Dati!$F$19:$F$30,AC13-$F$1)),"")</f>
        <v/>
      </c>
      <c r="AL13" s="3" t="str">
        <f t="shared" si="14"/>
        <v/>
      </c>
      <c r="AO13" s="1"/>
      <c r="AP13" s="1">
        <f t="shared" si="15"/>
        <v>5</v>
      </c>
      <c r="AQ13" s="1">
        <f>IF(AP13="","",INDEX(SPO!$K:$K,Telai!AO13))</f>
        <v>-0.49199999999999999</v>
      </c>
      <c r="AR13" s="3"/>
      <c r="AS13" s="3"/>
      <c r="AT13" s="1" t="str">
        <f t="shared" si="16"/>
        <v>tel x</v>
      </c>
      <c r="AU13" s="3">
        <f>IF(AT13="tel x",IF(Dati!$B23="",$CE13,Dati!$B23),"")</f>
        <v>15.85</v>
      </c>
      <c r="AV13" s="3" t="str">
        <f t="shared" si="35"/>
        <v/>
      </c>
      <c r="AW13" s="1" t="str">
        <f t="shared" si="17"/>
        <v/>
      </c>
      <c r="AX13" s="1" t="str">
        <f>IF(AW13="tel y",IF(INDEX(Dati!$F$19:$F$30,AP13-$F$1)="",AS13,INDEX(Dati!$F$19:$F$30,AP13-$F$1)),"")</f>
        <v/>
      </c>
      <c r="AY13" s="3" t="str">
        <f t="shared" si="18"/>
        <v/>
      </c>
      <c r="BB13" s="1"/>
      <c r="BC13" s="1">
        <f t="shared" si="19"/>
        <v>5</v>
      </c>
      <c r="BD13" s="1">
        <f>IF(BC13="","",INDEX(SPO!$K:$K,Telai!BB13))</f>
        <v>-0.49199999999999999</v>
      </c>
      <c r="BE13" s="3"/>
      <c r="BF13" s="3"/>
      <c r="BG13" s="1" t="str">
        <f t="shared" si="20"/>
        <v>tel x</v>
      </c>
      <c r="BH13" s="3">
        <f>IF(BG13="tel x",IF(Dati!$B23="",$CE13,Dati!$B23),"")</f>
        <v>15.85</v>
      </c>
      <c r="BI13" s="3" t="str">
        <f t="shared" si="36"/>
        <v/>
      </c>
      <c r="BJ13" s="1" t="str">
        <f t="shared" si="21"/>
        <v/>
      </c>
      <c r="BK13" s="1" t="str">
        <f>IF(BJ13="tel y",IF(INDEX(Dati!$F$19:$F$30,BC13-$F$1)="",BF13,INDEX(Dati!$F$19:$F$30,BC13-$F$1)),"")</f>
        <v/>
      </c>
      <c r="BL13" s="3" t="str">
        <f t="shared" si="22"/>
        <v/>
      </c>
      <c r="BO13" s="1"/>
      <c r="BP13" s="1">
        <f t="shared" si="23"/>
        <v>5</v>
      </c>
      <c r="BQ13" s="1">
        <f>IF(BP13="","",INDEX(SPO!$K:$K,Telai!BO13))</f>
        <v>-0.49199999999999999</v>
      </c>
      <c r="BR13" s="3"/>
      <c r="BS13" s="3"/>
      <c r="BT13" s="1" t="str">
        <f t="shared" si="24"/>
        <v>tel x</v>
      </c>
      <c r="BU13" s="3">
        <f>IF(BT13="tel x",IF(Dati!$B23="",$CE13,Dati!$B23),"")</f>
        <v>15.85</v>
      </c>
      <c r="BV13" s="3" t="str">
        <f t="shared" si="37"/>
        <v/>
      </c>
      <c r="BW13" s="1" t="str">
        <f t="shared" si="25"/>
        <v/>
      </c>
      <c r="BX13" s="1" t="str">
        <f>IF(BW13="tel y",IF(INDEX(Dati!$F$19:$F$30,BP13-$F$1)="",BS13,INDEX(Dati!$F$19:$F$30,BP13-$F$1)),"")</f>
        <v/>
      </c>
      <c r="BY13" s="3" t="str">
        <f t="shared" si="26"/>
        <v/>
      </c>
      <c r="CB13" s="1">
        <f>IF(CC13="","",(CC13-1)*Modi!$B$51+(Modi!$B$51-CA$4)+2)</f>
        <v>22</v>
      </c>
      <c r="CC13" s="1">
        <f t="shared" si="27"/>
        <v>5</v>
      </c>
      <c r="CD13" s="1">
        <f>IF(CC13="","",INDEX(SPO!$K:$K,Telai!CB13))</f>
        <v>-1.972</v>
      </c>
      <c r="CE13" s="3">
        <f t="shared" si="28"/>
        <v>15.84</v>
      </c>
      <c r="CF13" s="3">
        <f t="shared" si="29"/>
        <v>-1.6</v>
      </c>
      <c r="CG13" s="1" t="str">
        <f t="shared" si="30"/>
        <v>tel x</v>
      </c>
      <c r="CH13" s="3">
        <f t="shared" si="31"/>
        <v>15.84</v>
      </c>
      <c r="CI13" s="3" t="str">
        <f t="shared" si="38"/>
        <v/>
      </c>
      <c r="CJ13" s="1" t="str">
        <f t="shared" si="4"/>
        <v/>
      </c>
      <c r="CK13" s="1" t="str">
        <f t="shared" si="5"/>
        <v/>
      </c>
      <c r="CL13" s="3" t="str">
        <f t="shared" si="32"/>
        <v/>
      </c>
    </row>
    <row r="14" spans="1:90">
      <c r="B14" s="1"/>
      <c r="C14" s="1">
        <f t="shared" si="6"/>
        <v>6</v>
      </c>
      <c r="D14" s="1">
        <f>IF(C14="","",INDEX(SPO!$K:$K,Telai!B14))</f>
        <v>-0.38700000000000001</v>
      </c>
      <c r="E14" s="3"/>
      <c r="F14" s="3"/>
      <c r="G14" s="1" t="str">
        <f t="shared" si="0"/>
        <v/>
      </c>
      <c r="H14" s="3" t="str">
        <f>IF(G14="tel x",IF(Dati!$B24="",$CE14,Dati!$B24),"")</f>
        <v/>
      </c>
      <c r="I14" s="3" t="str">
        <f t="shared" si="1"/>
        <v/>
      </c>
      <c r="J14" s="1" t="str">
        <f t="shared" si="2"/>
        <v>tel y</v>
      </c>
      <c r="K14" s="1">
        <f>IF(J14="tel y",IF(INDEX(Dati!$F$19:$F$30,C14-$F$1)="",F14,INDEX(Dati!$F$19:$F$30,C14-$F$1)),"")</f>
        <v>0.15</v>
      </c>
      <c r="L14" s="3">
        <f t="shared" si="3"/>
        <v>2.5</v>
      </c>
      <c r="O14" s="1"/>
      <c r="P14" s="1">
        <f t="shared" si="7"/>
        <v>6</v>
      </c>
      <c r="Q14" s="1">
        <f>IF(P14="","",INDEX(SPO!$K:$K,Telai!O14))</f>
        <v>-0.38700000000000001</v>
      </c>
      <c r="R14" s="3"/>
      <c r="S14" s="3"/>
      <c r="T14" s="1" t="str">
        <f t="shared" si="8"/>
        <v/>
      </c>
      <c r="U14" s="3" t="str">
        <f>IF(T14="tel x",IF(Dati!$B24="",$CE14,Dati!$B24),"")</f>
        <v/>
      </c>
      <c r="V14" s="3" t="str">
        <f t="shared" si="33"/>
        <v/>
      </c>
      <c r="W14" s="1" t="str">
        <f t="shared" si="9"/>
        <v>tel y</v>
      </c>
      <c r="X14" s="1">
        <f>IF(W14="tel y",IF(INDEX(Dati!$F$19:$F$30,P14-$F$1)="",S14,INDEX(Dati!$F$19:$F$30,P14-$F$1)),"")</f>
        <v>0.15</v>
      </c>
      <c r="Y14" s="3">
        <f t="shared" si="10"/>
        <v>2.5</v>
      </c>
      <c r="AB14" s="1"/>
      <c r="AC14" s="1">
        <f t="shared" si="11"/>
        <v>6</v>
      </c>
      <c r="AD14" s="1">
        <f>IF(AC14="","",INDEX(SPO!$K:$K,Telai!AB14))</f>
        <v>-0.38700000000000001</v>
      </c>
      <c r="AE14" s="3"/>
      <c r="AF14" s="3"/>
      <c r="AG14" s="1" t="str">
        <f t="shared" si="12"/>
        <v/>
      </c>
      <c r="AH14" s="3" t="str">
        <f>IF(AG14="tel x",IF(Dati!$B24="",$CE14,Dati!$B24),"")</f>
        <v/>
      </c>
      <c r="AI14" s="3" t="str">
        <f t="shared" si="34"/>
        <v/>
      </c>
      <c r="AJ14" s="1" t="str">
        <f t="shared" si="13"/>
        <v>tel y</v>
      </c>
      <c r="AK14" s="1">
        <f>IF(AJ14="tel y",IF(INDEX(Dati!$F$19:$F$30,AC14-$F$1)="",AF14,INDEX(Dati!$F$19:$F$30,AC14-$F$1)),"")</f>
        <v>0.15</v>
      </c>
      <c r="AL14" s="3">
        <f t="shared" si="14"/>
        <v>2.5</v>
      </c>
      <c r="AO14" s="1"/>
      <c r="AP14" s="1">
        <f t="shared" si="15"/>
        <v>6</v>
      </c>
      <c r="AQ14" s="1">
        <f>IF(AP14="","",INDEX(SPO!$K:$K,Telai!AO14))</f>
        <v>-0.38700000000000001</v>
      </c>
      <c r="AR14" s="3"/>
      <c r="AS14" s="3"/>
      <c r="AT14" s="1" t="str">
        <f t="shared" si="16"/>
        <v/>
      </c>
      <c r="AU14" s="3" t="str">
        <f>IF(AT14="tel x",IF(Dati!$B24="",$CE14,Dati!$B24),"")</f>
        <v/>
      </c>
      <c r="AV14" s="3" t="str">
        <f t="shared" si="35"/>
        <v/>
      </c>
      <c r="AW14" s="1" t="str">
        <f t="shared" si="17"/>
        <v>tel y</v>
      </c>
      <c r="AX14" s="1">
        <f>IF(AW14="tel y",IF(INDEX(Dati!$F$19:$F$30,AP14-$F$1)="",AS14,INDEX(Dati!$F$19:$F$30,AP14-$F$1)),"")</f>
        <v>0.15</v>
      </c>
      <c r="AY14" s="3">
        <f t="shared" si="18"/>
        <v>2.5</v>
      </c>
      <c r="BB14" s="1"/>
      <c r="BC14" s="1">
        <f t="shared" si="19"/>
        <v>6</v>
      </c>
      <c r="BD14" s="1">
        <f>IF(BC14="","",INDEX(SPO!$K:$K,Telai!BB14))</f>
        <v>-0.38700000000000001</v>
      </c>
      <c r="BE14" s="3"/>
      <c r="BF14" s="3"/>
      <c r="BG14" s="1" t="str">
        <f t="shared" si="20"/>
        <v/>
      </c>
      <c r="BH14" s="3" t="str">
        <f>IF(BG14="tel x",IF(Dati!$B24="",$CE14,Dati!$B24),"")</f>
        <v/>
      </c>
      <c r="BI14" s="3" t="str">
        <f t="shared" si="36"/>
        <v/>
      </c>
      <c r="BJ14" s="1" t="str">
        <f t="shared" si="21"/>
        <v>tel y</v>
      </c>
      <c r="BK14" s="1">
        <f>IF(BJ14="tel y",IF(INDEX(Dati!$F$19:$F$30,BC14-$F$1)="",BF14,INDEX(Dati!$F$19:$F$30,BC14-$F$1)),"")</f>
        <v>0.15</v>
      </c>
      <c r="BL14" s="3">
        <f t="shared" si="22"/>
        <v>2.5</v>
      </c>
      <c r="BO14" s="1"/>
      <c r="BP14" s="1">
        <f t="shared" si="23"/>
        <v>6</v>
      </c>
      <c r="BQ14" s="1">
        <f>IF(BP14="","",INDEX(SPO!$K:$K,Telai!BO14))</f>
        <v>-0.38700000000000001</v>
      </c>
      <c r="BR14" s="3"/>
      <c r="BS14" s="3"/>
      <c r="BT14" s="1" t="str">
        <f t="shared" si="24"/>
        <v/>
      </c>
      <c r="BU14" s="3" t="str">
        <f>IF(BT14="tel x",IF(Dati!$B24="",$CE14,Dati!$B24),"")</f>
        <v/>
      </c>
      <c r="BV14" s="3" t="str">
        <f t="shared" si="37"/>
        <v/>
      </c>
      <c r="BW14" s="1" t="str">
        <f t="shared" si="25"/>
        <v>tel y</v>
      </c>
      <c r="BX14" s="1">
        <f>IF(BW14="tel y",IF(INDEX(Dati!$F$19:$F$30,BP14-$F$1)="",BS14,INDEX(Dati!$F$19:$F$30,BP14-$F$1)),"")</f>
        <v>0.15</v>
      </c>
      <c r="BY14" s="3">
        <f t="shared" si="26"/>
        <v>2.5</v>
      </c>
      <c r="CB14" s="1">
        <f>IF(CC14="","",(CC14-1)*Modi!$B$51+(Modi!$B$51-CA$4)+2)</f>
        <v>27</v>
      </c>
      <c r="CC14" s="1">
        <f t="shared" si="27"/>
        <v>6</v>
      </c>
      <c r="CD14" s="1">
        <f>IF(CC14="","",INDEX(SPO!$K:$K,Telai!CB14))</f>
        <v>-1.6259999999999999</v>
      </c>
      <c r="CE14" s="3">
        <f t="shared" si="28"/>
        <v>14.1</v>
      </c>
      <c r="CF14" s="3">
        <f t="shared" si="29"/>
        <v>0.15</v>
      </c>
      <c r="CG14" s="1" t="str">
        <f t="shared" si="30"/>
        <v/>
      </c>
      <c r="CH14" s="3" t="str">
        <f t="shared" si="31"/>
        <v/>
      </c>
      <c r="CI14" s="3" t="str">
        <f t="shared" si="38"/>
        <v/>
      </c>
      <c r="CJ14" s="1" t="str">
        <f t="shared" si="4"/>
        <v>tel y</v>
      </c>
      <c r="CK14" s="1">
        <f t="shared" si="5"/>
        <v>0.15</v>
      </c>
      <c r="CL14" s="3">
        <f t="shared" si="32"/>
        <v>2.5</v>
      </c>
    </row>
    <row r="15" spans="1:90">
      <c r="B15" s="1"/>
      <c r="C15" s="1">
        <f t="shared" si="6"/>
        <v>7</v>
      </c>
      <c r="D15" s="1">
        <f>IF(C15="","",INDEX(SPO!$K:$K,Telai!B15))</f>
        <v>-0.255</v>
      </c>
      <c r="E15" s="3"/>
      <c r="F15" s="3"/>
      <c r="G15" s="1" t="str">
        <f t="shared" si="0"/>
        <v/>
      </c>
      <c r="H15" s="3" t="str">
        <f>IF(G15="tel x",IF(Dati!$B25="",$CE15,Dati!$B25),"")</f>
        <v/>
      </c>
      <c r="I15" s="3" t="str">
        <f t="shared" si="1"/>
        <v/>
      </c>
      <c r="J15" s="1" t="str">
        <f t="shared" si="2"/>
        <v>tel y</v>
      </c>
      <c r="K15" s="1">
        <f>IF(J15="tel y",IF(INDEX(Dati!$F$19:$F$30,C15-$F$1)="",F15,INDEX(Dati!$F$19:$F$30,C15-$F$1)),"")</f>
        <v>4.8499999999999996</v>
      </c>
      <c r="L15" s="3">
        <f t="shared" si="3"/>
        <v>6.75</v>
      </c>
      <c r="O15" s="1"/>
      <c r="P15" s="1">
        <f t="shared" si="7"/>
        <v>7</v>
      </c>
      <c r="Q15" s="1">
        <f>IF(P15="","",INDEX(SPO!$K:$K,Telai!O15))</f>
        <v>-0.255</v>
      </c>
      <c r="R15" s="3"/>
      <c r="S15" s="3"/>
      <c r="T15" s="1" t="str">
        <f t="shared" si="8"/>
        <v/>
      </c>
      <c r="U15" s="3" t="str">
        <f>IF(T15="tel x",IF(Dati!$B25="",$CE15,Dati!$B25),"")</f>
        <v/>
      </c>
      <c r="V15" s="3" t="str">
        <f t="shared" si="33"/>
        <v/>
      </c>
      <c r="W15" s="1" t="str">
        <f t="shared" si="9"/>
        <v>tel y</v>
      </c>
      <c r="X15" s="1">
        <f>IF(W15="tel y",IF(INDEX(Dati!$F$19:$F$30,P15-$F$1)="",S15,INDEX(Dati!$F$19:$F$30,P15-$F$1)),"")</f>
        <v>4.8499999999999996</v>
      </c>
      <c r="Y15" s="3">
        <f t="shared" si="10"/>
        <v>6.75</v>
      </c>
      <c r="AB15" s="1"/>
      <c r="AC15" s="1">
        <f t="shared" si="11"/>
        <v>7</v>
      </c>
      <c r="AD15" s="1">
        <f>IF(AC15="","",INDEX(SPO!$K:$K,Telai!AB15))</f>
        <v>-0.255</v>
      </c>
      <c r="AE15" s="3"/>
      <c r="AF15" s="3"/>
      <c r="AG15" s="1" t="str">
        <f t="shared" si="12"/>
        <v/>
      </c>
      <c r="AH15" s="3" t="str">
        <f>IF(AG15="tel x",IF(Dati!$B25="",$CE15,Dati!$B25),"")</f>
        <v/>
      </c>
      <c r="AI15" s="3" t="str">
        <f t="shared" si="34"/>
        <v/>
      </c>
      <c r="AJ15" s="1" t="str">
        <f t="shared" si="13"/>
        <v>tel y</v>
      </c>
      <c r="AK15" s="1">
        <f>IF(AJ15="tel y",IF(INDEX(Dati!$F$19:$F$30,AC15-$F$1)="",AF15,INDEX(Dati!$F$19:$F$30,AC15-$F$1)),"")</f>
        <v>4.8499999999999996</v>
      </c>
      <c r="AL15" s="3">
        <f t="shared" si="14"/>
        <v>6.75</v>
      </c>
      <c r="AO15" s="1"/>
      <c r="AP15" s="1">
        <f t="shared" si="15"/>
        <v>7</v>
      </c>
      <c r="AQ15" s="1">
        <f>IF(AP15="","",INDEX(SPO!$K:$K,Telai!AO15))</f>
        <v>-0.255</v>
      </c>
      <c r="AR15" s="3"/>
      <c r="AS15" s="3"/>
      <c r="AT15" s="1" t="str">
        <f t="shared" si="16"/>
        <v/>
      </c>
      <c r="AU15" s="3" t="str">
        <f>IF(AT15="tel x",IF(Dati!$B25="",$CE15,Dati!$B25),"")</f>
        <v/>
      </c>
      <c r="AV15" s="3" t="str">
        <f t="shared" si="35"/>
        <v/>
      </c>
      <c r="AW15" s="1" t="str">
        <f t="shared" si="17"/>
        <v>tel y</v>
      </c>
      <c r="AX15" s="1">
        <f>IF(AW15="tel y",IF(INDEX(Dati!$F$19:$F$30,AP15-$F$1)="",AS15,INDEX(Dati!$F$19:$F$30,AP15-$F$1)),"")</f>
        <v>4.8499999999999996</v>
      </c>
      <c r="AY15" s="3">
        <f t="shared" si="18"/>
        <v>6.75</v>
      </c>
      <c r="BB15" s="1"/>
      <c r="BC15" s="1">
        <f t="shared" si="19"/>
        <v>7</v>
      </c>
      <c r="BD15" s="1">
        <f>IF(BC15="","",INDEX(SPO!$K:$K,Telai!BB15))</f>
        <v>-0.255</v>
      </c>
      <c r="BE15" s="3"/>
      <c r="BF15" s="3"/>
      <c r="BG15" s="1" t="str">
        <f t="shared" si="20"/>
        <v/>
      </c>
      <c r="BH15" s="3" t="str">
        <f>IF(BG15="tel x",IF(Dati!$B25="",$CE15,Dati!$B25),"")</f>
        <v/>
      </c>
      <c r="BI15" s="3" t="str">
        <f t="shared" si="36"/>
        <v/>
      </c>
      <c r="BJ15" s="1" t="str">
        <f t="shared" si="21"/>
        <v>tel y</v>
      </c>
      <c r="BK15" s="1">
        <f>IF(BJ15="tel y",IF(INDEX(Dati!$F$19:$F$30,BC15-$F$1)="",BF15,INDEX(Dati!$F$19:$F$30,BC15-$F$1)),"")</f>
        <v>4.8499999999999996</v>
      </c>
      <c r="BL15" s="3">
        <f t="shared" si="22"/>
        <v>6.75</v>
      </c>
      <c r="BO15" s="1"/>
      <c r="BP15" s="1">
        <f t="shared" si="23"/>
        <v>7</v>
      </c>
      <c r="BQ15" s="1">
        <f>IF(BP15="","",INDEX(SPO!$K:$K,Telai!BO15))</f>
        <v>-0.255</v>
      </c>
      <c r="BR15" s="3"/>
      <c r="BS15" s="3"/>
      <c r="BT15" s="1" t="str">
        <f t="shared" si="24"/>
        <v/>
      </c>
      <c r="BU15" s="3" t="str">
        <f>IF(BT15="tel x",IF(Dati!$B25="",$CE15,Dati!$B25),"")</f>
        <v/>
      </c>
      <c r="BV15" s="3" t="str">
        <f t="shared" si="37"/>
        <v/>
      </c>
      <c r="BW15" s="1" t="str">
        <f t="shared" si="25"/>
        <v>tel y</v>
      </c>
      <c r="BX15" s="1">
        <f>IF(BW15="tel y",IF(INDEX(Dati!$F$19:$F$30,BP15-$F$1)="",BS15,INDEX(Dati!$F$19:$F$30,BP15-$F$1)),"")</f>
        <v>4.8499999999999996</v>
      </c>
      <c r="BY15" s="3">
        <f t="shared" si="26"/>
        <v>6.75</v>
      </c>
      <c r="CB15" s="1">
        <f>IF(CC15="","",(CC15-1)*Modi!$B$51+(Modi!$B$51-CA$4)+2)</f>
        <v>32</v>
      </c>
      <c r="CC15" s="1">
        <f t="shared" si="27"/>
        <v>7</v>
      </c>
      <c r="CD15" s="1">
        <f>IF(CC15="","",INDEX(SPO!$K:$K,Telai!CB15))</f>
        <v>-0.69499999999999995</v>
      </c>
      <c r="CE15" s="3">
        <f t="shared" si="28"/>
        <v>9.39</v>
      </c>
      <c r="CF15" s="3">
        <f t="shared" si="29"/>
        <v>4.8499999999999996</v>
      </c>
      <c r="CG15" s="1" t="str">
        <f t="shared" si="30"/>
        <v/>
      </c>
      <c r="CH15" s="3" t="str">
        <f t="shared" si="31"/>
        <v/>
      </c>
      <c r="CI15" s="3" t="str">
        <f t="shared" si="38"/>
        <v/>
      </c>
      <c r="CJ15" s="1" t="str">
        <f t="shared" si="4"/>
        <v>tel y</v>
      </c>
      <c r="CK15" s="1">
        <f t="shared" si="5"/>
        <v>4.8499999999999996</v>
      </c>
      <c r="CL15" s="3">
        <f t="shared" si="32"/>
        <v>8.3619680851063833</v>
      </c>
    </row>
    <row r="16" spans="1:90">
      <c r="B16" s="1"/>
      <c r="C16" s="1">
        <f t="shared" si="6"/>
        <v>8</v>
      </c>
      <c r="D16" s="1">
        <f>IF(C16="","",INDEX(SPO!$K:$K,Telai!B16))</f>
        <v>-0.111</v>
      </c>
      <c r="E16" s="3"/>
      <c r="F16" s="3"/>
      <c r="G16" s="1" t="str">
        <f t="shared" si="0"/>
        <v/>
      </c>
      <c r="H16" s="3" t="str">
        <f>IF(G16="tel x",IF(Dati!$B26="",$CE16,Dati!$B26),"")</f>
        <v/>
      </c>
      <c r="I16" s="3" t="str">
        <f t="shared" si="1"/>
        <v/>
      </c>
      <c r="J16" s="1" t="str">
        <f t="shared" si="2"/>
        <v>tel y</v>
      </c>
      <c r="K16" s="1">
        <f>IF(J16="tel y",IF(INDEX(Dati!$F$19:$F$30,C16-$F$1)="",F16,INDEX(Dati!$F$19:$F$30,C16-$F$1)),"")</f>
        <v>8.65</v>
      </c>
      <c r="L16" s="3">
        <f t="shared" si="3"/>
        <v>10.15</v>
      </c>
      <c r="O16" s="1"/>
      <c r="P16" s="1">
        <f t="shared" si="7"/>
        <v>8</v>
      </c>
      <c r="Q16" s="1">
        <f>IF(P16="","",INDEX(SPO!$K:$K,Telai!O16))</f>
        <v>-0.111</v>
      </c>
      <c r="R16" s="3"/>
      <c r="S16" s="3"/>
      <c r="T16" s="1" t="str">
        <f t="shared" si="8"/>
        <v/>
      </c>
      <c r="U16" s="3" t="str">
        <f>IF(T16="tel x",IF(Dati!$B26="",$CE16,Dati!$B26),"")</f>
        <v/>
      </c>
      <c r="V16" s="3" t="str">
        <f t="shared" si="33"/>
        <v/>
      </c>
      <c r="W16" s="1" t="str">
        <f t="shared" si="9"/>
        <v>tel y</v>
      </c>
      <c r="X16" s="1">
        <f>IF(W16="tel y",IF(INDEX(Dati!$F$19:$F$30,P16-$F$1)="",S16,INDEX(Dati!$F$19:$F$30,P16-$F$1)),"")</f>
        <v>8.65</v>
      </c>
      <c r="Y16" s="3">
        <f t="shared" si="10"/>
        <v>10.15</v>
      </c>
      <c r="AB16" s="1"/>
      <c r="AC16" s="1">
        <f t="shared" si="11"/>
        <v>8</v>
      </c>
      <c r="AD16" s="1">
        <f>IF(AC16="","",INDEX(SPO!$K:$K,Telai!AB16))</f>
        <v>-0.111</v>
      </c>
      <c r="AE16" s="3"/>
      <c r="AF16" s="3"/>
      <c r="AG16" s="1" t="str">
        <f t="shared" si="12"/>
        <v/>
      </c>
      <c r="AH16" s="3" t="str">
        <f>IF(AG16="tel x",IF(Dati!$B26="",$CE16,Dati!$B26),"")</f>
        <v/>
      </c>
      <c r="AI16" s="3" t="str">
        <f t="shared" si="34"/>
        <v/>
      </c>
      <c r="AJ16" s="1" t="str">
        <f t="shared" si="13"/>
        <v>tel y</v>
      </c>
      <c r="AK16" s="1">
        <f>IF(AJ16="tel y",IF(INDEX(Dati!$F$19:$F$30,AC16-$F$1)="",AF16,INDEX(Dati!$F$19:$F$30,AC16-$F$1)),"")</f>
        <v>8.65</v>
      </c>
      <c r="AL16" s="3">
        <f t="shared" si="14"/>
        <v>10.15</v>
      </c>
      <c r="AO16" s="1"/>
      <c r="AP16" s="1">
        <f t="shared" si="15"/>
        <v>8</v>
      </c>
      <c r="AQ16" s="1">
        <f>IF(AP16="","",INDEX(SPO!$K:$K,Telai!AO16))</f>
        <v>-0.111</v>
      </c>
      <c r="AR16" s="3"/>
      <c r="AS16" s="3"/>
      <c r="AT16" s="1" t="str">
        <f t="shared" si="16"/>
        <v/>
      </c>
      <c r="AU16" s="3" t="str">
        <f>IF(AT16="tel x",IF(Dati!$B26="",$CE16,Dati!$B26),"")</f>
        <v/>
      </c>
      <c r="AV16" s="3" t="str">
        <f t="shared" si="35"/>
        <v/>
      </c>
      <c r="AW16" s="1" t="str">
        <f t="shared" si="17"/>
        <v>tel y</v>
      </c>
      <c r="AX16" s="1">
        <f>IF(AW16="tel y",IF(INDEX(Dati!$F$19:$F$30,AP16-$F$1)="",AS16,INDEX(Dati!$F$19:$F$30,AP16-$F$1)),"")</f>
        <v>8.65</v>
      </c>
      <c r="AY16" s="3">
        <f t="shared" si="18"/>
        <v>10.15</v>
      </c>
      <c r="BB16" s="1"/>
      <c r="BC16" s="1">
        <f t="shared" si="19"/>
        <v>8</v>
      </c>
      <c r="BD16" s="1">
        <f>IF(BC16="","",INDEX(SPO!$K:$K,Telai!BB16))</f>
        <v>-0.111</v>
      </c>
      <c r="BE16" s="3"/>
      <c r="BF16" s="3"/>
      <c r="BG16" s="1" t="str">
        <f t="shared" si="20"/>
        <v/>
      </c>
      <c r="BH16" s="3" t="str">
        <f>IF(BG16="tel x",IF(Dati!$B26="",$CE16,Dati!$B26),"")</f>
        <v/>
      </c>
      <c r="BI16" s="3" t="str">
        <f t="shared" si="36"/>
        <v/>
      </c>
      <c r="BJ16" s="1" t="str">
        <f t="shared" si="21"/>
        <v>tel y</v>
      </c>
      <c r="BK16" s="1">
        <f>IF(BJ16="tel y",IF(INDEX(Dati!$F$19:$F$30,BC16-$F$1)="",BF16,INDEX(Dati!$F$19:$F$30,BC16-$F$1)),"")</f>
        <v>8.65</v>
      </c>
      <c r="BL16" s="3">
        <f t="shared" si="22"/>
        <v>10.15</v>
      </c>
      <c r="BO16" s="1"/>
      <c r="BP16" s="1">
        <f t="shared" si="23"/>
        <v>8</v>
      </c>
      <c r="BQ16" s="1">
        <f>IF(BP16="","",INDEX(SPO!$K:$K,Telai!BO16))</f>
        <v>-0.111</v>
      </c>
      <c r="BR16" s="3"/>
      <c r="BS16" s="3"/>
      <c r="BT16" s="1" t="str">
        <f t="shared" si="24"/>
        <v/>
      </c>
      <c r="BU16" s="3" t="str">
        <f>IF(BT16="tel x",IF(Dati!$B26="",$CE16,Dati!$B26),"")</f>
        <v/>
      </c>
      <c r="BV16" s="3" t="str">
        <f t="shared" si="37"/>
        <v/>
      </c>
      <c r="BW16" s="1" t="str">
        <f t="shared" si="25"/>
        <v>tel y</v>
      </c>
      <c r="BX16" s="1">
        <f>IF(BW16="tel y",IF(INDEX(Dati!$F$19:$F$30,BP16-$F$1)="",BS16,INDEX(Dati!$F$19:$F$30,BP16-$F$1)),"")</f>
        <v>8.65</v>
      </c>
      <c r="BY16" s="3">
        <f t="shared" si="26"/>
        <v>10.15</v>
      </c>
      <c r="CB16" s="1">
        <f>IF(CC16="","",(CC16-1)*Modi!$B$51+(Modi!$B$51-CA$4)+2)</f>
        <v>37</v>
      </c>
      <c r="CC16" s="1">
        <f t="shared" si="27"/>
        <v>8</v>
      </c>
      <c r="CD16" s="1">
        <f>IF(CC16="","",INDEX(SPO!$K:$K,Telai!CB16))</f>
        <v>5.7000000000000002E-2</v>
      </c>
      <c r="CE16" s="3">
        <f t="shared" si="28"/>
        <v>5.6</v>
      </c>
      <c r="CF16" s="3">
        <f t="shared" si="29"/>
        <v>8.65</v>
      </c>
      <c r="CG16" s="1" t="str">
        <f t="shared" si="30"/>
        <v/>
      </c>
      <c r="CH16" s="3" t="str">
        <f t="shared" si="31"/>
        <v/>
      </c>
      <c r="CI16" s="3" t="str">
        <f t="shared" si="38"/>
        <v/>
      </c>
      <c r="CJ16" s="1" t="str">
        <f t="shared" si="4"/>
        <v>tel y</v>
      </c>
      <c r="CK16" s="1">
        <f t="shared" si="5"/>
        <v>8.65</v>
      </c>
      <c r="CL16" s="3">
        <f t="shared" si="32"/>
        <v>10.145</v>
      </c>
    </row>
    <row r="17" spans="1:90">
      <c r="B17" s="1"/>
      <c r="C17" s="1">
        <f t="shared" si="6"/>
        <v>9</v>
      </c>
      <c r="D17" s="1">
        <f>IF(C17="","",INDEX(SPO!$K:$K,Telai!B17))</f>
        <v>-1.2589999999999999</v>
      </c>
      <c r="E17" s="3"/>
      <c r="F17" s="3"/>
      <c r="G17" s="1" t="str">
        <f t="shared" si="0"/>
        <v/>
      </c>
      <c r="H17" s="3" t="str">
        <f>IF(G17="tel x",IF(Dati!$B27="",$CE17,Dati!$B27),"")</f>
        <v/>
      </c>
      <c r="I17" s="3" t="str">
        <f t="shared" si="1"/>
        <v/>
      </c>
      <c r="J17" s="1" t="str">
        <f t="shared" si="2"/>
        <v>tel y</v>
      </c>
      <c r="K17" s="1">
        <f>IF(J17="tel y",IF(INDEX(Dati!$F$19:$F$30,C17-$F$1)="",F17,INDEX(Dati!$F$19:$F$30,C17-$F$1)),"")</f>
        <v>11.65</v>
      </c>
      <c r="L17" s="3">
        <f t="shared" si="3"/>
        <v>13.25</v>
      </c>
      <c r="O17" s="1"/>
      <c r="P17" s="1">
        <f t="shared" si="7"/>
        <v>9</v>
      </c>
      <c r="Q17" s="1">
        <f>IF(P17="","",INDEX(SPO!$K:$K,Telai!O17))</f>
        <v>-1.2589999999999999</v>
      </c>
      <c r="R17" s="3"/>
      <c r="S17" s="3"/>
      <c r="T17" s="1" t="str">
        <f t="shared" si="8"/>
        <v/>
      </c>
      <c r="U17" s="3" t="str">
        <f>IF(T17="tel x",IF(Dati!$B27="",$CE17,Dati!$B27),"")</f>
        <v/>
      </c>
      <c r="V17" s="3" t="str">
        <f t="shared" si="33"/>
        <v/>
      </c>
      <c r="W17" s="1" t="str">
        <f t="shared" si="9"/>
        <v>tel y</v>
      </c>
      <c r="X17" s="1">
        <f>IF(W17="tel y",IF(INDEX(Dati!$F$19:$F$30,P17-$F$1)="",S17,INDEX(Dati!$F$19:$F$30,P17-$F$1)),"")</f>
        <v>11.65</v>
      </c>
      <c r="Y17" s="3">
        <f t="shared" si="10"/>
        <v>13.25</v>
      </c>
      <c r="AB17" s="1"/>
      <c r="AC17" s="1">
        <f t="shared" si="11"/>
        <v>9</v>
      </c>
      <c r="AD17" s="1">
        <f>IF(AC17="","",INDEX(SPO!$K:$K,Telai!AB17))</f>
        <v>-1.2589999999999999</v>
      </c>
      <c r="AE17" s="3"/>
      <c r="AF17" s="3"/>
      <c r="AG17" s="1" t="str">
        <f t="shared" si="12"/>
        <v/>
      </c>
      <c r="AH17" s="3" t="str">
        <f>IF(AG17="tel x",IF(Dati!$B27="",$CE17,Dati!$B27),"")</f>
        <v/>
      </c>
      <c r="AI17" s="3" t="str">
        <f t="shared" si="34"/>
        <v/>
      </c>
      <c r="AJ17" s="1" t="str">
        <f t="shared" si="13"/>
        <v>tel y</v>
      </c>
      <c r="AK17" s="1">
        <f>IF(AJ17="tel y",IF(INDEX(Dati!$F$19:$F$30,AC17-$F$1)="",AF17,INDEX(Dati!$F$19:$F$30,AC17-$F$1)),"")</f>
        <v>11.65</v>
      </c>
      <c r="AL17" s="3">
        <f t="shared" si="14"/>
        <v>13.25</v>
      </c>
      <c r="AO17" s="1"/>
      <c r="AP17" s="1">
        <f t="shared" si="15"/>
        <v>9</v>
      </c>
      <c r="AQ17" s="1">
        <f>IF(AP17="","",INDEX(SPO!$K:$K,Telai!AO17))</f>
        <v>-1.2589999999999999</v>
      </c>
      <c r="AR17" s="3"/>
      <c r="AS17" s="3"/>
      <c r="AT17" s="1" t="str">
        <f t="shared" si="16"/>
        <v/>
      </c>
      <c r="AU17" s="3" t="str">
        <f>IF(AT17="tel x",IF(Dati!$B27="",$CE17,Dati!$B27),"")</f>
        <v/>
      </c>
      <c r="AV17" s="3" t="str">
        <f t="shared" si="35"/>
        <v/>
      </c>
      <c r="AW17" s="1" t="str">
        <f t="shared" si="17"/>
        <v>tel y</v>
      </c>
      <c r="AX17" s="1">
        <f>IF(AW17="tel y",IF(INDEX(Dati!$F$19:$F$30,AP17-$F$1)="",AS17,INDEX(Dati!$F$19:$F$30,AP17-$F$1)),"")</f>
        <v>11.65</v>
      </c>
      <c r="AY17" s="3">
        <f t="shared" si="18"/>
        <v>13.25</v>
      </c>
      <c r="BB17" s="1"/>
      <c r="BC17" s="1">
        <f t="shared" si="19"/>
        <v>9</v>
      </c>
      <c r="BD17" s="1">
        <f>IF(BC17="","",INDEX(SPO!$K:$K,Telai!BB17))</f>
        <v>-1.2589999999999999</v>
      </c>
      <c r="BE17" s="3"/>
      <c r="BF17" s="3"/>
      <c r="BG17" s="1" t="str">
        <f t="shared" si="20"/>
        <v/>
      </c>
      <c r="BH17" s="3" t="str">
        <f>IF(BG17="tel x",IF(Dati!$B27="",$CE17,Dati!$B27),"")</f>
        <v/>
      </c>
      <c r="BI17" s="3" t="str">
        <f t="shared" si="36"/>
        <v/>
      </c>
      <c r="BJ17" s="1" t="str">
        <f t="shared" si="21"/>
        <v>tel y</v>
      </c>
      <c r="BK17" s="1">
        <f>IF(BJ17="tel y",IF(INDEX(Dati!$F$19:$F$30,BC17-$F$1)="",BF17,INDEX(Dati!$F$19:$F$30,BC17-$F$1)),"")</f>
        <v>11.65</v>
      </c>
      <c r="BL17" s="3">
        <f t="shared" si="22"/>
        <v>13.25</v>
      </c>
      <c r="BO17" s="1"/>
      <c r="BP17" s="1">
        <f t="shared" si="23"/>
        <v>9</v>
      </c>
      <c r="BQ17" s="1">
        <f>IF(BP17="","",INDEX(SPO!$K:$K,Telai!BO17))</f>
        <v>-1.2589999999999999</v>
      </c>
      <c r="BR17" s="3"/>
      <c r="BS17" s="3"/>
      <c r="BT17" s="1" t="str">
        <f t="shared" si="24"/>
        <v/>
      </c>
      <c r="BU17" s="3" t="str">
        <f>IF(BT17="tel x",IF(Dati!$B27="",$CE17,Dati!$B27),"")</f>
        <v/>
      </c>
      <c r="BV17" s="3" t="str">
        <f t="shared" si="37"/>
        <v/>
      </c>
      <c r="BW17" s="1" t="str">
        <f t="shared" si="25"/>
        <v>tel y</v>
      </c>
      <c r="BX17" s="1">
        <f>IF(BW17="tel y",IF(INDEX(Dati!$F$19:$F$30,BP17-$F$1)="",BS17,INDEX(Dati!$F$19:$F$30,BP17-$F$1)),"")</f>
        <v>11.65</v>
      </c>
      <c r="BY17" s="3">
        <f t="shared" si="26"/>
        <v>13.25</v>
      </c>
      <c r="CB17" s="1">
        <f>IF(CC17="","",(CC17-1)*Modi!$B$51+(Modi!$B$51-CA$4)+2)</f>
        <v>42</v>
      </c>
      <c r="CC17" s="1">
        <f t="shared" si="27"/>
        <v>9</v>
      </c>
      <c r="CD17" s="1">
        <f>IF(CC17="","",INDEX(SPO!$K:$K,Telai!CB17))</f>
        <v>0.65</v>
      </c>
      <c r="CE17" s="3">
        <f t="shared" si="28"/>
        <v>2.6</v>
      </c>
      <c r="CF17" s="3">
        <f t="shared" si="29"/>
        <v>11.64</v>
      </c>
      <c r="CG17" s="1" t="str">
        <f t="shared" si="30"/>
        <v/>
      </c>
      <c r="CH17" s="3" t="str">
        <f t="shared" si="31"/>
        <v/>
      </c>
      <c r="CI17" s="3" t="str">
        <f t="shared" si="38"/>
        <v/>
      </c>
      <c r="CJ17" s="1" t="str">
        <f t="shared" si="4"/>
        <v>tel y</v>
      </c>
      <c r="CK17" s="1">
        <f t="shared" si="5"/>
        <v>11.64</v>
      </c>
      <c r="CL17" s="3">
        <f t="shared" si="32"/>
        <v>13.24</v>
      </c>
    </row>
    <row r="18" spans="1:90">
      <c r="B18" s="1"/>
      <c r="C18" s="1">
        <f t="shared" si="6"/>
        <v>10</v>
      </c>
      <c r="D18" s="1">
        <f>IF(C18="","",INDEX(SPO!$K:$K,Telai!B18))</f>
        <v>-1.101</v>
      </c>
      <c r="E18" s="3"/>
      <c r="F18" s="3"/>
      <c r="G18" s="1" t="str">
        <f t="shared" si="0"/>
        <v/>
      </c>
      <c r="H18" s="3" t="str">
        <f>IF(G18="tel x",IF(Dati!$B28="",$CE18,Dati!$B28),"")</f>
        <v/>
      </c>
      <c r="I18" s="3" t="str">
        <f t="shared" si="1"/>
        <v/>
      </c>
      <c r="J18" s="1" t="str">
        <f t="shared" si="2"/>
        <v>tel y</v>
      </c>
      <c r="K18" s="1">
        <f>IF(J18="tel y",IF(INDEX(Dati!$F$19:$F$30,C18-$F$1)="",F18,INDEX(Dati!$F$19:$F$30,C18-$F$1)),"")</f>
        <v>14.85</v>
      </c>
      <c r="L18" s="3">
        <f t="shared" si="3"/>
        <v>16.95</v>
      </c>
      <c r="O18" s="1"/>
      <c r="P18" s="1">
        <f t="shared" si="7"/>
        <v>10</v>
      </c>
      <c r="Q18" s="1">
        <f>IF(P18="","",INDEX(SPO!$K:$K,Telai!O18))</f>
        <v>-1.101</v>
      </c>
      <c r="R18" s="3"/>
      <c r="S18" s="3"/>
      <c r="T18" s="1" t="str">
        <f t="shared" si="8"/>
        <v/>
      </c>
      <c r="U18" s="3" t="str">
        <f>IF(T18="tel x",IF(Dati!$B28="",$CE18,Dati!$B28),"")</f>
        <v/>
      </c>
      <c r="V18" s="3" t="str">
        <f t="shared" si="33"/>
        <v/>
      </c>
      <c r="W18" s="1" t="str">
        <f t="shared" si="9"/>
        <v>tel y</v>
      </c>
      <c r="X18" s="1">
        <f>IF(W18="tel y",IF(INDEX(Dati!$F$19:$F$30,P18-$F$1)="",S18,INDEX(Dati!$F$19:$F$30,P18-$F$1)),"")</f>
        <v>14.85</v>
      </c>
      <c r="Y18" s="3">
        <f t="shared" si="10"/>
        <v>16.95</v>
      </c>
      <c r="AB18" s="1"/>
      <c r="AC18" s="1">
        <f t="shared" si="11"/>
        <v>10</v>
      </c>
      <c r="AD18" s="1">
        <f>IF(AC18="","",INDEX(SPO!$K:$K,Telai!AB18))</f>
        <v>-1.101</v>
      </c>
      <c r="AE18" s="3"/>
      <c r="AF18" s="3"/>
      <c r="AG18" s="1" t="str">
        <f t="shared" si="12"/>
        <v/>
      </c>
      <c r="AH18" s="3" t="str">
        <f>IF(AG18="tel x",IF(Dati!$B28="",$CE18,Dati!$B28),"")</f>
        <v/>
      </c>
      <c r="AI18" s="3" t="str">
        <f t="shared" si="34"/>
        <v/>
      </c>
      <c r="AJ18" s="1" t="str">
        <f t="shared" si="13"/>
        <v>tel y</v>
      </c>
      <c r="AK18" s="1">
        <f>IF(AJ18="tel y",IF(INDEX(Dati!$F$19:$F$30,AC18-$F$1)="",AF18,INDEX(Dati!$F$19:$F$30,AC18-$F$1)),"")</f>
        <v>14.85</v>
      </c>
      <c r="AL18" s="3">
        <f t="shared" si="14"/>
        <v>16.95</v>
      </c>
      <c r="AO18" s="1"/>
      <c r="AP18" s="1">
        <f t="shared" si="15"/>
        <v>10</v>
      </c>
      <c r="AQ18" s="1">
        <f>IF(AP18="","",INDEX(SPO!$K:$K,Telai!AO18))</f>
        <v>-1.101</v>
      </c>
      <c r="AR18" s="3"/>
      <c r="AS18" s="3"/>
      <c r="AT18" s="1" t="str">
        <f t="shared" si="16"/>
        <v/>
      </c>
      <c r="AU18" s="3" t="str">
        <f>IF(AT18="tel x",IF(Dati!$B28="",$CE18,Dati!$B28),"")</f>
        <v/>
      </c>
      <c r="AV18" s="3" t="str">
        <f t="shared" si="35"/>
        <v/>
      </c>
      <c r="AW18" s="1" t="str">
        <f t="shared" si="17"/>
        <v>tel y</v>
      </c>
      <c r="AX18" s="1">
        <f>IF(AW18="tel y",IF(INDEX(Dati!$F$19:$F$30,AP18-$F$1)="",AS18,INDEX(Dati!$F$19:$F$30,AP18-$F$1)),"")</f>
        <v>14.85</v>
      </c>
      <c r="AY18" s="3">
        <f t="shared" si="18"/>
        <v>16.95</v>
      </c>
      <c r="BB18" s="1"/>
      <c r="BC18" s="1">
        <f t="shared" si="19"/>
        <v>10</v>
      </c>
      <c r="BD18" s="1">
        <f>IF(BC18="","",INDEX(SPO!$K:$K,Telai!BB18))</f>
        <v>-1.101</v>
      </c>
      <c r="BE18" s="3"/>
      <c r="BF18" s="3"/>
      <c r="BG18" s="1" t="str">
        <f t="shared" si="20"/>
        <v/>
      </c>
      <c r="BH18" s="3" t="str">
        <f>IF(BG18="tel x",IF(Dati!$B28="",$CE18,Dati!$B28),"")</f>
        <v/>
      </c>
      <c r="BI18" s="3" t="str">
        <f t="shared" si="36"/>
        <v/>
      </c>
      <c r="BJ18" s="1" t="str">
        <f t="shared" si="21"/>
        <v>tel y</v>
      </c>
      <c r="BK18" s="1">
        <f>IF(BJ18="tel y",IF(INDEX(Dati!$F$19:$F$30,BC18-$F$1)="",BF18,INDEX(Dati!$F$19:$F$30,BC18-$F$1)),"")</f>
        <v>14.85</v>
      </c>
      <c r="BL18" s="3">
        <f t="shared" si="22"/>
        <v>16.95</v>
      </c>
      <c r="BO18" s="1"/>
      <c r="BP18" s="1">
        <f t="shared" si="23"/>
        <v>10</v>
      </c>
      <c r="BQ18" s="1">
        <f>IF(BP18="","",INDEX(SPO!$K:$K,Telai!BO18))</f>
        <v>-1.101</v>
      </c>
      <c r="BR18" s="3"/>
      <c r="BS18" s="3"/>
      <c r="BT18" s="1" t="str">
        <f t="shared" si="24"/>
        <v/>
      </c>
      <c r="BU18" s="3" t="str">
        <f>IF(BT18="tel x",IF(Dati!$B28="",$CE18,Dati!$B28),"")</f>
        <v/>
      </c>
      <c r="BV18" s="3" t="str">
        <f t="shared" si="37"/>
        <v/>
      </c>
      <c r="BW18" s="1" t="str">
        <f t="shared" si="25"/>
        <v>tel y</v>
      </c>
      <c r="BX18" s="1">
        <f>IF(BW18="tel y",IF(INDEX(Dati!$F$19:$F$30,BP18-$F$1)="",BS18,INDEX(Dati!$F$19:$F$30,BP18-$F$1)),"")</f>
        <v>14.85</v>
      </c>
      <c r="BY18" s="3">
        <f t="shared" si="26"/>
        <v>16.95</v>
      </c>
      <c r="CB18" s="1">
        <f>IF(CC18="","",(CC18-1)*Modi!$B$51+(Modi!$B$51-CA$4)+2)</f>
        <v>47</v>
      </c>
      <c r="CC18" s="1">
        <f t="shared" si="27"/>
        <v>10</v>
      </c>
      <c r="CD18" s="1">
        <f>IF(CC18="","",INDEX(SPO!$K:$K,Telai!CB18))</f>
        <v>1.284</v>
      </c>
      <c r="CE18" s="3">
        <f t="shared" si="28"/>
        <v>-0.6</v>
      </c>
      <c r="CF18" s="3">
        <f t="shared" si="29"/>
        <v>14.84</v>
      </c>
      <c r="CG18" s="1" t="str">
        <f t="shared" si="30"/>
        <v/>
      </c>
      <c r="CH18" s="3" t="str">
        <f t="shared" si="31"/>
        <v/>
      </c>
      <c r="CI18" s="3" t="str">
        <f t="shared" si="38"/>
        <v/>
      </c>
      <c r="CJ18" s="1" t="str">
        <f t="shared" si="4"/>
        <v>tel y</v>
      </c>
      <c r="CK18" s="1">
        <f t="shared" si="5"/>
        <v>14.84</v>
      </c>
      <c r="CL18" s="3">
        <f t="shared" si="32"/>
        <v>16.939999999999998</v>
      </c>
    </row>
    <row r="19" spans="1:90">
      <c r="B19" s="1"/>
      <c r="C19" s="1">
        <f t="shared" si="6"/>
        <v>11</v>
      </c>
      <c r="D19" s="1">
        <f>IF(C19="","",INDEX(SPO!$K:$K,Telai!B19))</f>
        <v>-0.872</v>
      </c>
      <c r="E19" s="3"/>
      <c r="F19" s="3"/>
      <c r="G19" s="1" t="str">
        <f t="shared" si="0"/>
        <v/>
      </c>
      <c r="H19" s="3" t="str">
        <f>IF(G19="tel x",IF(Dati!$B29="",$CE19,Dati!$B29),"")</f>
        <v/>
      </c>
      <c r="I19" s="3" t="str">
        <f t="shared" si="1"/>
        <v/>
      </c>
      <c r="J19" s="1" t="str">
        <f t="shared" si="2"/>
        <v>tel y</v>
      </c>
      <c r="K19" s="1">
        <f>IF(J19="tel y",IF(INDEX(Dati!$F$19:$F$30,C19-$F$1)="",F19,INDEX(Dati!$F$19:$F$30,C19-$F$1)),"")</f>
        <v>19.05</v>
      </c>
      <c r="L19" s="3">
        <f t="shared" si="3"/>
        <v>20.85</v>
      </c>
      <c r="O19" s="1"/>
      <c r="P19" s="1">
        <f t="shared" si="7"/>
        <v>11</v>
      </c>
      <c r="Q19" s="1">
        <f>IF(P19="","",INDEX(SPO!$K:$K,Telai!O19))</f>
        <v>-0.872</v>
      </c>
      <c r="R19" s="3"/>
      <c r="S19" s="3"/>
      <c r="T19" s="1" t="str">
        <f t="shared" si="8"/>
        <v/>
      </c>
      <c r="U19" s="3" t="str">
        <f>IF(T19="tel x",IF(Dati!$B29="",$CE19,Dati!$B29),"")</f>
        <v/>
      </c>
      <c r="V19" s="3" t="str">
        <f t="shared" si="33"/>
        <v/>
      </c>
      <c r="W19" s="1" t="str">
        <f t="shared" si="9"/>
        <v>tel y</v>
      </c>
      <c r="X19" s="1">
        <f>IF(W19="tel y",IF(INDEX(Dati!$F$19:$F$30,P19-$F$1)="",S19,INDEX(Dati!$F$19:$F$30,P19-$F$1)),"")</f>
        <v>19.05</v>
      </c>
      <c r="Y19" s="3">
        <f t="shared" si="10"/>
        <v>20.85</v>
      </c>
      <c r="AB19" s="1"/>
      <c r="AC19" s="1">
        <f t="shared" si="11"/>
        <v>11</v>
      </c>
      <c r="AD19" s="1">
        <f>IF(AC19="","",INDEX(SPO!$K:$K,Telai!AB19))</f>
        <v>-0.872</v>
      </c>
      <c r="AE19" s="3"/>
      <c r="AF19" s="3"/>
      <c r="AG19" s="1" t="str">
        <f t="shared" si="12"/>
        <v/>
      </c>
      <c r="AH19" s="3" t="str">
        <f>IF(AG19="tel x",IF(Dati!$B29="",$CE19,Dati!$B29),"")</f>
        <v/>
      </c>
      <c r="AI19" s="3" t="str">
        <f t="shared" si="34"/>
        <v/>
      </c>
      <c r="AJ19" s="1" t="str">
        <f t="shared" si="13"/>
        <v>tel y</v>
      </c>
      <c r="AK19" s="1">
        <f>IF(AJ19="tel y",IF(INDEX(Dati!$F$19:$F$30,AC19-$F$1)="",AF19,INDEX(Dati!$F$19:$F$30,AC19-$F$1)),"")</f>
        <v>19.05</v>
      </c>
      <c r="AL19" s="3">
        <f t="shared" si="14"/>
        <v>20.85</v>
      </c>
      <c r="AO19" s="1"/>
      <c r="AP19" s="1">
        <f t="shared" si="15"/>
        <v>11</v>
      </c>
      <c r="AQ19" s="1">
        <f>IF(AP19="","",INDEX(SPO!$K:$K,Telai!AO19))</f>
        <v>-0.872</v>
      </c>
      <c r="AR19" s="3"/>
      <c r="AS19" s="3"/>
      <c r="AT19" s="1" t="str">
        <f t="shared" si="16"/>
        <v/>
      </c>
      <c r="AU19" s="3" t="str">
        <f>IF(AT19="tel x",IF(Dati!$B29="",$CE19,Dati!$B29),"")</f>
        <v/>
      </c>
      <c r="AV19" s="3" t="str">
        <f t="shared" si="35"/>
        <v/>
      </c>
      <c r="AW19" s="1" t="str">
        <f t="shared" si="17"/>
        <v>tel y</v>
      </c>
      <c r="AX19" s="1">
        <f>IF(AW19="tel y",IF(INDEX(Dati!$F$19:$F$30,AP19-$F$1)="",AS19,INDEX(Dati!$F$19:$F$30,AP19-$F$1)),"")</f>
        <v>19.05</v>
      </c>
      <c r="AY19" s="3">
        <f t="shared" si="18"/>
        <v>20.85</v>
      </c>
      <c r="BB19" s="1"/>
      <c r="BC19" s="1">
        <f t="shared" si="19"/>
        <v>11</v>
      </c>
      <c r="BD19" s="1">
        <f>IF(BC19="","",INDEX(SPO!$K:$K,Telai!BB19))</f>
        <v>-0.872</v>
      </c>
      <c r="BE19" s="3"/>
      <c r="BF19" s="3"/>
      <c r="BG19" s="1" t="str">
        <f t="shared" si="20"/>
        <v/>
      </c>
      <c r="BH19" s="3" t="str">
        <f>IF(BG19="tel x",IF(Dati!$B29="",$CE19,Dati!$B29),"")</f>
        <v/>
      </c>
      <c r="BI19" s="3" t="str">
        <f t="shared" si="36"/>
        <v/>
      </c>
      <c r="BJ19" s="1" t="str">
        <f t="shared" si="21"/>
        <v>tel y</v>
      </c>
      <c r="BK19" s="1">
        <f>IF(BJ19="tel y",IF(INDEX(Dati!$F$19:$F$30,BC19-$F$1)="",BF19,INDEX(Dati!$F$19:$F$30,BC19-$F$1)),"")</f>
        <v>19.05</v>
      </c>
      <c r="BL19" s="3">
        <f t="shared" si="22"/>
        <v>20.85</v>
      </c>
      <c r="BO19" s="1"/>
      <c r="BP19" s="1">
        <f t="shared" si="23"/>
        <v>11</v>
      </c>
      <c r="BQ19" s="1">
        <f>IF(BP19="","",INDEX(SPO!$K:$K,Telai!BO19))</f>
        <v>-0.872</v>
      </c>
      <c r="BR19" s="3"/>
      <c r="BS19" s="3"/>
      <c r="BT19" s="1" t="str">
        <f t="shared" si="24"/>
        <v/>
      </c>
      <c r="BU19" s="3" t="str">
        <f>IF(BT19="tel x",IF(Dati!$B29="",$CE19,Dati!$B29),"")</f>
        <v/>
      </c>
      <c r="BV19" s="3" t="str">
        <f t="shared" si="37"/>
        <v/>
      </c>
      <c r="BW19" s="1" t="str">
        <f t="shared" si="25"/>
        <v>tel y</v>
      </c>
      <c r="BX19" s="1">
        <f>IF(BW19="tel y",IF(INDEX(Dati!$F$19:$F$30,BP19-$F$1)="",BS19,INDEX(Dati!$F$19:$F$30,BP19-$F$1)),"")</f>
        <v>19.05</v>
      </c>
      <c r="BY19" s="3">
        <f t="shared" si="26"/>
        <v>20.85</v>
      </c>
      <c r="CB19" s="1">
        <f>IF(CC19="","",(CC19-1)*Modi!$B$51+(Modi!$B$51-CA$4)+2)</f>
        <v>52</v>
      </c>
      <c r="CC19" s="1">
        <f t="shared" si="27"/>
        <v>11</v>
      </c>
      <c r="CD19" s="1">
        <f>IF(CC19="","",INDEX(SPO!$K:$K,Telai!CB19))</f>
        <v>2.1150000000000002</v>
      </c>
      <c r="CE19" s="3">
        <f t="shared" si="28"/>
        <v>-4.8</v>
      </c>
      <c r="CF19" s="3">
        <f t="shared" si="29"/>
        <v>19.04</v>
      </c>
      <c r="CG19" s="1" t="str">
        <f t="shared" si="30"/>
        <v/>
      </c>
      <c r="CH19" s="3" t="str">
        <f t="shared" si="31"/>
        <v/>
      </c>
      <c r="CI19" s="3" t="str">
        <f t="shared" si="38"/>
        <v/>
      </c>
      <c r="CJ19" s="1" t="str">
        <f t="shared" si="4"/>
        <v>tel y</v>
      </c>
      <c r="CK19" s="1">
        <f t="shared" si="5"/>
        <v>19.04</v>
      </c>
      <c r="CL19" s="3">
        <f t="shared" si="32"/>
        <v>20.84</v>
      </c>
    </row>
    <row r="20" spans="1:90">
      <c r="B20" s="1"/>
      <c r="C20" s="1">
        <f t="shared" si="6"/>
        <v>12</v>
      </c>
      <c r="D20" s="1">
        <f>IF(C20="","",INDEX(SPO!$K:$K,Telai!B20))</f>
        <v>-0.58099999999999996</v>
      </c>
      <c r="E20" s="3"/>
      <c r="F20" s="3"/>
      <c r="G20" s="1" t="str">
        <f t="shared" si="0"/>
        <v/>
      </c>
      <c r="H20" s="3" t="str">
        <f>IF(G20="tel x",IF(Dati!$B30="",$CE20,Dati!$B30),"")</f>
        <v/>
      </c>
      <c r="I20" s="3" t="str">
        <f t="shared" si="1"/>
        <v/>
      </c>
      <c r="J20" s="1" t="str">
        <f t="shared" si="2"/>
        <v>tel y</v>
      </c>
      <c r="K20" s="1">
        <f>IF(J20="tel y",IF(INDEX(Dati!$F$19:$F$30,C20-$F$1)="",F20,INDEX(Dati!$F$19:$F$30,C20-$F$1)),"")</f>
        <v>22.65</v>
      </c>
      <c r="L20" s="3" t="str">
        <f t="shared" si="3"/>
        <v/>
      </c>
      <c r="O20" s="1"/>
      <c r="P20" s="1">
        <f t="shared" si="7"/>
        <v>12</v>
      </c>
      <c r="Q20" s="1">
        <f>IF(P20="","",INDEX(SPO!$K:$K,Telai!O20))</f>
        <v>-0.58099999999999996</v>
      </c>
      <c r="R20" s="3"/>
      <c r="S20" s="3"/>
      <c r="T20" s="1" t="str">
        <f t="shared" si="8"/>
        <v/>
      </c>
      <c r="U20" s="3" t="str">
        <f>IF(T20="tel x",IF(Dati!$B30="",$CE20,Dati!$B30),"")</f>
        <v/>
      </c>
      <c r="V20" s="3" t="str">
        <f t="shared" si="33"/>
        <v/>
      </c>
      <c r="W20" s="1" t="str">
        <f t="shared" si="9"/>
        <v>tel y</v>
      </c>
      <c r="X20" s="1">
        <f>IF(W20="tel y",IF(INDEX(Dati!$F$19:$F$30,P20-$F$1)="",S20,INDEX(Dati!$F$19:$F$30,P20-$F$1)),"")</f>
        <v>22.65</v>
      </c>
      <c r="Y20" s="3" t="str">
        <f t="shared" si="10"/>
        <v/>
      </c>
      <c r="AB20" s="1"/>
      <c r="AC20" s="1">
        <f t="shared" si="11"/>
        <v>12</v>
      </c>
      <c r="AD20" s="1">
        <f>IF(AC20="","",INDEX(SPO!$K:$K,Telai!AB20))</f>
        <v>-0.58099999999999996</v>
      </c>
      <c r="AE20" s="3"/>
      <c r="AF20" s="3"/>
      <c r="AG20" s="1" t="str">
        <f t="shared" si="12"/>
        <v/>
      </c>
      <c r="AH20" s="3" t="str">
        <f>IF(AG20="tel x",IF(Dati!$B30="",$CE20,Dati!$B30),"")</f>
        <v/>
      </c>
      <c r="AI20" s="3" t="str">
        <f t="shared" si="34"/>
        <v/>
      </c>
      <c r="AJ20" s="1" t="str">
        <f t="shared" si="13"/>
        <v>tel y</v>
      </c>
      <c r="AK20" s="1">
        <f>IF(AJ20="tel y",IF(INDEX(Dati!$F$19:$F$30,AC20-$F$1)="",AF20,INDEX(Dati!$F$19:$F$30,AC20-$F$1)),"")</f>
        <v>22.65</v>
      </c>
      <c r="AL20" s="3" t="str">
        <f t="shared" si="14"/>
        <v/>
      </c>
      <c r="AO20" s="1"/>
      <c r="AP20" s="1">
        <f t="shared" si="15"/>
        <v>12</v>
      </c>
      <c r="AQ20" s="1">
        <f>IF(AP20="","",INDEX(SPO!$K:$K,Telai!AO20))</f>
        <v>-0.58099999999999996</v>
      </c>
      <c r="AR20" s="3"/>
      <c r="AS20" s="3"/>
      <c r="AT20" s="1" t="str">
        <f t="shared" si="16"/>
        <v/>
      </c>
      <c r="AU20" s="3" t="str">
        <f>IF(AT20="tel x",IF(Dati!$B30="",$CE20,Dati!$B30),"")</f>
        <v/>
      </c>
      <c r="AV20" s="3" t="str">
        <f t="shared" si="35"/>
        <v/>
      </c>
      <c r="AW20" s="1" t="str">
        <f t="shared" si="17"/>
        <v>tel y</v>
      </c>
      <c r="AX20" s="1">
        <f>IF(AW20="tel y",IF(INDEX(Dati!$F$19:$F$30,AP20-$F$1)="",AS20,INDEX(Dati!$F$19:$F$30,AP20-$F$1)),"")</f>
        <v>22.65</v>
      </c>
      <c r="AY20" s="3" t="str">
        <f t="shared" si="18"/>
        <v/>
      </c>
      <c r="BB20" s="1"/>
      <c r="BC20" s="1">
        <f t="shared" si="19"/>
        <v>12</v>
      </c>
      <c r="BD20" s="1">
        <f>IF(BC20="","",INDEX(SPO!$K:$K,Telai!BB20))</f>
        <v>-0.58099999999999996</v>
      </c>
      <c r="BE20" s="3"/>
      <c r="BF20" s="3"/>
      <c r="BG20" s="1" t="str">
        <f t="shared" si="20"/>
        <v/>
      </c>
      <c r="BH20" s="3" t="str">
        <f>IF(BG20="tel x",IF(Dati!$B30="",$CE20,Dati!$B30),"")</f>
        <v/>
      </c>
      <c r="BI20" s="3" t="str">
        <f t="shared" si="36"/>
        <v/>
      </c>
      <c r="BJ20" s="1" t="str">
        <f t="shared" si="21"/>
        <v>tel y</v>
      </c>
      <c r="BK20" s="1">
        <f>IF(BJ20="tel y",IF(INDEX(Dati!$F$19:$F$30,BC20-$F$1)="",BF20,INDEX(Dati!$F$19:$F$30,BC20-$F$1)),"")</f>
        <v>22.65</v>
      </c>
      <c r="BL20" s="3" t="str">
        <f t="shared" si="22"/>
        <v/>
      </c>
      <c r="BO20" s="1"/>
      <c r="BP20" s="1">
        <f t="shared" si="23"/>
        <v>12</v>
      </c>
      <c r="BQ20" s="1">
        <f>IF(BP20="","",INDEX(SPO!$K:$K,Telai!BO20))</f>
        <v>-0.58099999999999996</v>
      </c>
      <c r="BR20" s="3"/>
      <c r="BS20" s="3"/>
      <c r="BT20" s="1" t="str">
        <f t="shared" si="24"/>
        <v/>
      </c>
      <c r="BU20" s="3" t="str">
        <f>IF(BT20="tel x",IF(Dati!$B30="",$CE20,Dati!$B30),"")</f>
        <v/>
      </c>
      <c r="BV20" s="3" t="str">
        <f t="shared" si="37"/>
        <v/>
      </c>
      <c r="BW20" s="1" t="str">
        <f t="shared" si="25"/>
        <v>tel y</v>
      </c>
      <c r="BX20" s="1">
        <f>IF(BW20="tel y",IF(INDEX(Dati!$F$19:$F$30,BP20-$F$1)="",BS20,INDEX(Dati!$F$19:$F$30,BP20-$F$1)),"")</f>
        <v>22.65</v>
      </c>
      <c r="BY20" s="3" t="str">
        <f t="shared" si="26"/>
        <v/>
      </c>
      <c r="CB20" s="1">
        <f>IF(CC20="","",(CC20-1)*Modi!$B$51+(Modi!$B$51-CA$4)+2)</f>
        <v>57</v>
      </c>
      <c r="CC20" s="1">
        <f t="shared" si="27"/>
        <v>12</v>
      </c>
      <c r="CD20" s="1">
        <f>IF(CC20="","",INDEX(SPO!$K:$K,Telai!CB20))</f>
        <v>2.8279999999999998</v>
      </c>
      <c r="CE20" s="3">
        <f t="shared" si="28"/>
        <v>-8.4</v>
      </c>
      <c r="CF20" s="3">
        <f t="shared" si="29"/>
        <v>22.64</v>
      </c>
      <c r="CG20" s="1" t="str">
        <f t="shared" si="30"/>
        <v/>
      </c>
      <c r="CH20" s="3" t="str">
        <f t="shared" si="31"/>
        <v/>
      </c>
      <c r="CI20" s="3" t="str">
        <f t="shared" si="38"/>
        <v/>
      </c>
      <c r="CJ20" s="1" t="str">
        <f t="shared" si="4"/>
        <v>tel y</v>
      </c>
      <c r="CK20" s="1">
        <f t="shared" si="5"/>
        <v>22.64</v>
      </c>
      <c r="CL20" s="3" t="str">
        <f t="shared" si="32"/>
        <v/>
      </c>
    </row>
    <row r="21" spans="1:90">
      <c r="B21" s="1"/>
      <c r="C21" s="1" t="str">
        <f t="shared" si="6"/>
        <v/>
      </c>
      <c r="D21" s="1" t="str">
        <f>IF(C21="","",INDEX(SPO!$K:$K,Telai!B21))</f>
        <v/>
      </c>
      <c r="E21" s="3"/>
      <c r="F21" s="3"/>
      <c r="G21" s="1" t="str">
        <f t="shared" si="0"/>
        <v/>
      </c>
      <c r="H21" s="3" t="str">
        <f>IF(G21="tel x",IF(Dati!$B31="",$CE21,Dati!$B31),"")</f>
        <v/>
      </c>
      <c r="I21" s="3" t="str">
        <f t="shared" si="1"/>
        <v/>
      </c>
      <c r="J21" s="1" t="str">
        <f t="shared" si="2"/>
        <v/>
      </c>
      <c r="K21" s="1" t="str">
        <f>IF(J21="tel y",IF(INDEX(Dati!$F$19:$F$30,C21-$F$1)="",F21,INDEX(Dati!$F$19:$F$30,C21-$F$1)),"")</f>
        <v/>
      </c>
      <c r="L21" s="3" t="str">
        <f t="shared" si="3"/>
        <v/>
      </c>
      <c r="O21" s="1"/>
      <c r="P21" s="1" t="str">
        <f t="shared" si="7"/>
        <v/>
      </c>
      <c r="Q21" s="1" t="str">
        <f>IF(P21="","",INDEX(SPO!$K:$K,Telai!O21))</f>
        <v/>
      </c>
      <c r="R21" s="3"/>
      <c r="S21" s="3"/>
      <c r="T21" s="1" t="str">
        <f t="shared" si="8"/>
        <v/>
      </c>
      <c r="U21" s="3" t="str">
        <f>IF(T21="tel x",IF(Dati!$B31="",$CE21,Dati!$B31),"")</f>
        <v/>
      </c>
      <c r="V21" s="3" t="str">
        <f t="shared" si="33"/>
        <v/>
      </c>
      <c r="W21" s="1" t="str">
        <f t="shared" si="9"/>
        <v/>
      </c>
      <c r="X21" s="1" t="str">
        <f>IF(W21="tel y",IF(INDEX(Dati!$F$19:$F$30,P21-$F$1)="",S21,INDEX(Dati!$F$19:$F$30,P21-$F$1)),"")</f>
        <v/>
      </c>
      <c r="Y21" s="3" t="str">
        <f t="shared" si="10"/>
        <v/>
      </c>
      <c r="AB21" s="1"/>
      <c r="AC21" s="1" t="str">
        <f t="shared" si="11"/>
        <v/>
      </c>
      <c r="AD21" s="1" t="str">
        <f>IF(AC21="","",INDEX(SPO!$K:$K,Telai!AB21))</f>
        <v/>
      </c>
      <c r="AE21" s="3"/>
      <c r="AF21" s="3"/>
      <c r="AG21" s="1" t="str">
        <f t="shared" si="12"/>
        <v/>
      </c>
      <c r="AH21" s="3" t="str">
        <f>IF(AG21="tel x",IF(Dati!$B31="",$CE21,Dati!$B31),"")</f>
        <v/>
      </c>
      <c r="AI21" s="3" t="str">
        <f t="shared" si="34"/>
        <v/>
      </c>
      <c r="AJ21" s="1" t="str">
        <f t="shared" si="13"/>
        <v/>
      </c>
      <c r="AK21" s="1" t="str">
        <f>IF(AJ21="tel y",IF(INDEX(Dati!$F$19:$F$30,AC21-$F$1)="",AF21,INDEX(Dati!$F$19:$F$30,AC21-$F$1)),"")</f>
        <v/>
      </c>
      <c r="AL21" s="3" t="str">
        <f t="shared" si="14"/>
        <v/>
      </c>
      <c r="AO21" s="1"/>
      <c r="AP21" s="1" t="str">
        <f t="shared" si="15"/>
        <v/>
      </c>
      <c r="AQ21" s="1" t="str">
        <f>IF(AP21="","",INDEX(SPO!$K:$K,Telai!AO21))</f>
        <v/>
      </c>
      <c r="AR21" s="3"/>
      <c r="AS21" s="3"/>
      <c r="AT21" s="1" t="str">
        <f t="shared" si="16"/>
        <v/>
      </c>
      <c r="AU21" s="3" t="str">
        <f>IF(AT21="tel x",IF(Dati!$B31="",$CE21,Dati!$B31),"")</f>
        <v/>
      </c>
      <c r="AV21" s="3" t="str">
        <f t="shared" si="35"/>
        <v/>
      </c>
      <c r="AW21" s="1" t="str">
        <f t="shared" si="17"/>
        <v/>
      </c>
      <c r="AX21" s="1" t="str">
        <f>IF(AW21="tel y",IF(INDEX(Dati!$F$19:$F$30,AP21-$F$1)="",AS21,INDEX(Dati!$F$19:$F$30,AP21-$F$1)),"")</f>
        <v/>
      </c>
      <c r="AY21" s="3" t="str">
        <f t="shared" si="18"/>
        <v/>
      </c>
      <c r="BB21" s="1"/>
      <c r="BC21" s="1" t="str">
        <f t="shared" si="19"/>
        <v/>
      </c>
      <c r="BD21" s="1" t="str">
        <f>IF(BC21="","",INDEX(SPO!$K:$K,Telai!BB21))</f>
        <v/>
      </c>
      <c r="BE21" s="3"/>
      <c r="BF21" s="3"/>
      <c r="BG21" s="1" t="str">
        <f t="shared" si="20"/>
        <v/>
      </c>
      <c r="BH21" s="3" t="str">
        <f>IF(BG21="tel x",IF(Dati!$B31="",$CE21,Dati!$B31),"")</f>
        <v/>
      </c>
      <c r="BI21" s="3" t="str">
        <f t="shared" si="36"/>
        <v/>
      </c>
      <c r="BJ21" s="1" t="str">
        <f t="shared" si="21"/>
        <v/>
      </c>
      <c r="BK21" s="1" t="str">
        <f>IF(BJ21="tel y",IF(INDEX(Dati!$F$19:$F$30,BC21-$F$1)="",BF21,INDEX(Dati!$F$19:$F$30,BC21-$F$1)),"")</f>
        <v/>
      </c>
      <c r="BL21" s="3" t="str">
        <f t="shared" si="22"/>
        <v/>
      </c>
      <c r="BO21" s="1"/>
      <c r="BP21" s="1" t="str">
        <f t="shared" si="23"/>
        <v/>
      </c>
      <c r="BQ21" s="1" t="str">
        <f>IF(BP21="","",INDEX(SPO!$K:$K,Telai!BO21))</f>
        <v/>
      </c>
      <c r="BR21" s="3"/>
      <c r="BS21" s="3"/>
      <c r="BT21" s="1" t="str">
        <f t="shared" si="24"/>
        <v/>
      </c>
      <c r="BU21" s="3" t="str">
        <f>IF(BT21="tel x",IF(Dati!$B31="",$CE21,Dati!$B31),"")</f>
        <v/>
      </c>
      <c r="BV21" s="3" t="str">
        <f t="shared" si="37"/>
        <v/>
      </c>
      <c r="BW21" s="1" t="str">
        <f t="shared" si="25"/>
        <v/>
      </c>
      <c r="BX21" s="1" t="str">
        <f>IF(BW21="tel y",IF(INDEX(Dati!$F$19:$F$30,BP21-$F$1)="",BS21,INDEX(Dati!$F$19:$F$30,BP21-$F$1)),"")</f>
        <v/>
      </c>
      <c r="BY21" s="3" t="str">
        <f t="shared" si="26"/>
        <v/>
      </c>
      <c r="CB21" s="1" t="str">
        <f>IF(CC21="","",(CC21-1)*Modi!$B$51+(Modi!$B$51-CA$4)+2)</f>
        <v/>
      </c>
      <c r="CC21" s="1" t="str">
        <f t="shared" si="27"/>
        <v/>
      </c>
      <c r="CD21" s="1" t="str">
        <f>IF(CC21="","",INDEX(SPO!$K:$K,Telai!CB21))</f>
        <v/>
      </c>
      <c r="CE21" s="3" t="str">
        <f t="shared" si="28"/>
        <v/>
      </c>
      <c r="CF21" s="3" t="str">
        <f t="shared" si="29"/>
        <v/>
      </c>
      <c r="CG21" s="1" t="str">
        <f t="shared" si="30"/>
        <v/>
      </c>
      <c r="CH21" s="3" t="str">
        <f t="shared" si="31"/>
        <v/>
      </c>
      <c r="CI21" s="3" t="str">
        <f t="shared" si="38"/>
        <v/>
      </c>
      <c r="CJ21" s="1" t="str">
        <f t="shared" si="4"/>
        <v/>
      </c>
      <c r="CK21" s="1" t="str">
        <f t="shared" si="5"/>
        <v/>
      </c>
      <c r="CL21" s="3" t="str">
        <f t="shared" si="32"/>
        <v/>
      </c>
    </row>
    <row r="22" spans="1:90">
      <c r="B22" s="1"/>
      <c r="C22" s="1" t="str">
        <f t="shared" si="6"/>
        <v/>
      </c>
      <c r="D22" s="1" t="str">
        <f>IF(C22="","",INDEX(SPO!$K:$K,Telai!B22))</f>
        <v/>
      </c>
      <c r="E22" s="3"/>
      <c r="F22" s="3"/>
      <c r="G22" s="1" t="str">
        <f t="shared" si="0"/>
        <v/>
      </c>
      <c r="H22" s="3" t="str">
        <f>IF(G22="tel x",IF(Dati!$B32="",$CE22,Dati!$B32),"")</f>
        <v/>
      </c>
      <c r="I22" s="3" t="str">
        <f t="shared" si="1"/>
        <v/>
      </c>
      <c r="J22" s="1" t="str">
        <f t="shared" si="2"/>
        <v/>
      </c>
      <c r="K22" s="1" t="str">
        <f>IF(J22="tel y",IF(INDEX(Dati!$F$19:$F$30,C22-$F$1)="",F22,INDEX(Dati!$F$19:$F$30,C22-$F$1)),"")</f>
        <v/>
      </c>
      <c r="L22" s="3" t="str">
        <f t="shared" si="3"/>
        <v/>
      </c>
      <c r="O22" s="1"/>
      <c r="P22" s="1" t="str">
        <f t="shared" si="7"/>
        <v/>
      </c>
      <c r="Q22" s="1" t="str">
        <f>IF(P22="","",INDEX(SPO!$K:$K,Telai!O22))</f>
        <v/>
      </c>
      <c r="R22" s="3"/>
      <c r="S22" s="3"/>
      <c r="T22" s="1" t="str">
        <f t="shared" si="8"/>
        <v/>
      </c>
      <c r="U22" s="3" t="str">
        <f>IF(T22="tel x",IF(Dati!$B32="",$CE22,Dati!$B32),"")</f>
        <v/>
      </c>
      <c r="V22" s="3" t="str">
        <f t="shared" si="33"/>
        <v/>
      </c>
      <c r="W22" s="1" t="str">
        <f t="shared" si="9"/>
        <v/>
      </c>
      <c r="X22" s="1" t="str">
        <f>IF(W22="tel y",IF(INDEX(Dati!$F$19:$F$30,P22-$F$1)="",S22,INDEX(Dati!$F$19:$F$30,P22-$F$1)),"")</f>
        <v/>
      </c>
      <c r="Y22" s="3" t="str">
        <f t="shared" si="10"/>
        <v/>
      </c>
      <c r="AB22" s="1"/>
      <c r="AC22" s="1" t="str">
        <f t="shared" si="11"/>
        <v/>
      </c>
      <c r="AD22" s="1" t="str">
        <f>IF(AC22="","",INDEX(SPO!$K:$K,Telai!AB22))</f>
        <v/>
      </c>
      <c r="AE22" s="3"/>
      <c r="AF22" s="3"/>
      <c r="AG22" s="1" t="str">
        <f t="shared" si="12"/>
        <v/>
      </c>
      <c r="AH22" s="3" t="str">
        <f>IF(AG22="tel x",IF(Dati!$B32="",$CE22,Dati!$B32),"")</f>
        <v/>
      </c>
      <c r="AI22" s="3" t="str">
        <f t="shared" si="34"/>
        <v/>
      </c>
      <c r="AJ22" s="1" t="str">
        <f t="shared" si="13"/>
        <v/>
      </c>
      <c r="AK22" s="1" t="str">
        <f>IF(AJ22="tel y",IF(INDEX(Dati!$F$19:$F$30,AC22-$F$1)="",AF22,INDEX(Dati!$F$19:$F$30,AC22-$F$1)),"")</f>
        <v/>
      </c>
      <c r="AL22" s="3" t="str">
        <f t="shared" si="14"/>
        <v/>
      </c>
      <c r="AO22" s="1"/>
      <c r="AP22" s="1" t="str">
        <f t="shared" si="15"/>
        <v/>
      </c>
      <c r="AQ22" s="1" t="str">
        <f>IF(AP22="","",INDEX(SPO!$K:$K,Telai!AO22))</f>
        <v/>
      </c>
      <c r="AR22" s="3"/>
      <c r="AS22" s="3"/>
      <c r="AT22" s="1" t="str">
        <f t="shared" si="16"/>
        <v/>
      </c>
      <c r="AU22" s="3" t="str">
        <f>IF(AT22="tel x",IF(Dati!$B32="",$CE22,Dati!$B32),"")</f>
        <v/>
      </c>
      <c r="AV22" s="3" t="str">
        <f t="shared" si="35"/>
        <v/>
      </c>
      <c r="AW22" s="1" t="str">
        <f t="shared" si="17"/>
        <v/>
      </c>
      <c r="AX22" s="1" t="str">
        <f>IF(AW22="tel y",IF(INDEX(Dati!$F$19:$F$30,AP22-$F$1)="",AS22,INDEX(Dati!$F$19:$F$30,AP22-$F$1)),"")</f>
        <v/>
      </c>
      <c r="AY22" s="3" t="str">
        <f t="shared" si="18"/>
        <v/>
      </c>
      <c r="BB22" s="1"/>
      <c r="BC22" s="1" t="str">
        <f t="shared" si="19"/>
        <v/>
      </c>
      <c r="BD22" s="1" t="str">
        <f>IF(BC22="","",INDEX(SPO!$K:$K,Telai!BB22))</f>
        <v/>
      </c>
      <c r="BE22" s="3"/>
      <c r="BF22" s="3"/>
      <c r="BG22" s="1" t="str">
        <f t="shared" si="20"/>
        <v/>
      </c>
      <c r="BH22" s="3" t="str">
        <f>IF(BG22="tel x",IF(Dati!$B32="",$CE22,Dati!$B32),"")</f>
        <v/>
      </c>
      <c r="BI22" s="3" t="str">
        <f t="shared" si="36"/>
        <v/>
      </c>
      <c r="BJ22" s="1" t="str">
        <f t="shared" si="21"/>
        <v/>
      </c>
      <c r="BK22" s="1" t="str">
        <f>IF(BJ22="tel y",IF(INDEX(Dati!$F$19:$F$30,BC22-$F$1)="",BF22,INDEX(Dati!$F$19:$F$30,BC22-$F$1)),"")</f>
        <v/>
      </c>
      <c r="BL22" s="3" t="str">
        <f t="shared" si="22"/>
        <v/>
      </c>
      <c r="BO22" s="1"/>
      <c r="BP22" s="1" t="str">
        <f t="shared" si="23"/>
        <v/>
      </c>
      <c r="BQ22" s="1" t="str">
        <f>IF(BP22="","",INDEX(SPO!$K:$K,Telai!BO22))</f>
        <v/>
      </c>
      <c r="BR22" s="3"/>
      <c r="BS22" s="3"/>
      <c r="BT22" s="1" t="str">
        <f t="shared" si="24"/>
        <v/>
      </c>
      <c r="BU22" s="3" t="str">
        <f>IF(BT22="tel x",IF(Dati!$B32="",$CE22,Dati!$B32),"")</f>
        <v/>
      </c>
      <c r="BV22" s="3" t="str">
        <f t="shared" si="37"/>
        <v/>
      </c>
      <c r="BW22" s="1" t="str">
        <f t="shared" si="25"/>
        <v/>
      </c>
      <c r="BX22" s="1" t="str">
        <f>IF(BW22="tel y",IF(INDEX(Dati!$F$19:$F$30,BP22-$F$1)="",BS22,INDEX(Dati!$F$19:$F$30,BP22-$F$1)),"")</f>
        <v/>
      </c>
      <c r="BY22" s="3" t="str">
        <f t="shared" si="26"/>
        <v/>
      </c>
    </row>
    <row r="23" spans="1:90">
      <c r="B23" s="1"/>
      <c r="C23" s="1" t="str">
        <f t="shared" si="6"/>
        <v/>
      </c>
      <c r="D23" s="1" t="str">
        <f>IF(C23="","",INDEX(SPO!$K:$K,Telai!B23))</f>
        <v/>
      </c>
      <c r="E23" s="3"/>
      <c r="F23" s="3"/>
      <c r="G23" s="1" t="str">
        <f t="shared" si="0"/>
        <v/>
      </c>
      <c r="H23" s="3" t="str">
        <f>IF(G23="tel x",IF(Dati!$B33="",$CE23,Dati!$B33),"")</f>
        <v/>
      </c>
      <c r="I23" s="3" t="str">
        <f t="shared" si="1"/>
        <v/>
      </c>
      <c r="J23" s="1" t="str">
        <f t="shared" si="2"/>
        <v/>
      </c>
      <c r="K23" s="1" t="str">
        <f>IF(J23="tel y",IF(INDEX(Dati!$F$19:$F$30,C23-$F$1)="",F23,INDEX(Dati!$F$19:$F$30,C23-$F$1)),"")</f>
        <v/>
      </c>
      <c r="L23" s="3" t="str">
        <f t="shared" si="3"/>
        <v/>
      </c>
      <c r="O23" s="1"/>
      <c r="P23" s="1" t="str">
        <f t="shared" si="7"/>
        <v/>
      </c>
      <c r="Q23" s="1" t="str">
        <f>IF(P23="","",INDEX(SPO!$K:$K,Telai!O23))</f>
        <v/>
      </c>
      <c r="R23" s="3"/>
      <c r="S23" s="3"/>
      <c r="T23" s="1" t="str">
        <f t="shared" si="8"/>
        <v/>
      </c>
      <c r="U23" s="3" t="str">
        <f>IF(T23="tel x",IF(Dati!$B33="",$CE23,Dati!$B33),"")</f>
        <v/>
      </c>
      <c r="V23" s="3" t="str">
        <f t="shared" si="33"/>
        <v/>
      </c>
      <c r="W23" s="1" t="str">
        <f t="shared" si="9"/>
        <v/>
      </c>
      <c r="X23" s="1" t="str">
        <f>IF(W23="tel y",IF(INDEX(Dati!$F$19:$F$30,P23-$F$1)="",S23,INDEX(Dati!$F$19:$F$30,P23-$F$1)),"")</f>
        <v/>
      </c>
      <c r="Y23" s="3" t="str">
        <f t="shared" si="10"/>
        <v/>
      </c>
      <c r="AB23" s="1"/>
      <c r="AC23" s="1" t="str">
        <f t="shared" si="11"/>
        <v/>
      </c>
      <c r="AD23" s="1" t="str">
        <f>IF(AC23="","",INDEX(SPO!$K:$K,Telai!AB23))</f>
        <v/>
      </c>
      <c r="AE23" s="3"/>
      <c r="AF23" s="3"/>
      <c r="AG23" s="1" t="str">
        <f t="shared" si="12"/>
        <v/>
      </c>
      <c r="AH23" s="3" t="str">
        <f>IF(AG23="tel x",IF(Dati!$B33="",$CE23,Dati!$B33),"")</f>
        <v/>
      </c>
      <c r="AI23" s="3" t="str">
        <f t="shared" si="34"/>
        <v/>
      </c>
      <c r="AJ23" s="1" t="str">
        <f t="shared" si="13"/>
        <v/>
      </c>
      <c r="AK23" s="1" t="str">
        <f>IF(AJ23="tel y",IF(INDEX(Dati!$F$19:$F$30,AC23-$F$1)="",AF23,INDEX(Dati!$F$19:$F$30,AC23-$F$1)),"")</f>
        <v/>
      </c>
      <c r="AL23" s="3" t="str">
        <f t="shared" si="14"/>
        <v/>
      </c>
      <c r="AO23" s="1"/>
      <c r="AP23" s="1" t="str">
        <f t="shared" si="15"/>
        <v/>
      </c>
      <c r="AQ23" s="1" t="str">
        <f>IF(AP23="","",INDEX(SPO!$K:$K,Telai!AO23))</f>
        <v/>
      </c>
      <c r="AR23" s="3"/>
      <c r="AS23" s="3"/>
      <c r="AT23" s="1" t="str">
        <f t="shared" si="16"/>
        <v/>
      </c>
      <c r="AU23" s="3" t="str">
        <f>IF(AT23="tel x",IF(Dati!$B33="",$CE23,Dati!$B33),"")</f>
        <v/>
      </c>
      <c r="AV23" s="3" t="str">
        <f t="shared" si="35"/>
        <v/>
      </c>
      <c r="AW23" s="1" t="str">
        <f t="shared" si="17"/>
        <v/>
      </c>
      <c r="AX23" s="1" t="str">
        <f>IF(AW23="tel y",IF(INDEX(Dati!$F$19:$F$30,AP23-$F$1)="",AS23,INDEX(Dati!$F$19:$F$30,AP23-$F$1)),"")</f>
        <v/>
      </c>
      <c r="AY23" s="3" t="str">
        <f t="shared" si="18"/>
        <v/>
      </c>
      <c r="BB23" s="1"/>
      <c r="BC23" s="1" t="str">
        <f t="shared" si="19"/>
        <v/>
      </c>
      <c r="BD23" s="1" t="str">
        <f>IF(BC23="","",INDEX(SPO!$K:$K,Telai!BB23))</f>
        <v/>
      </c>
      <c r="BE23" s="3"/>
      <c r="BF23" s="3"/>
      <c r="BG23" s="1" t="str">
        <f t="shared" si="20"/>
        <v/>
      </c>
      <c r="BH23" s="3" t="str">
        <f>IF(BG23="tel x",IF(Dati!$B33="",$CE23,Dati!$B33),"")</f>
        <v/>
      </c>
      <c r="BI23" s="3" t="str">
        <f t="shared" si="36"/>
        <v/>
      </c>
      <c r="BJ23" s="1" t="str">
        <f t="shared" si="21"/>
        <v/>
      </c>
      <c r="BK23" s="1" t="str">
        <f>IF(BJ23="tel y",IF(INDEX(Dati!$F$19:$F$30,BC23-$F$1)="",BF23,INDEX(Dati!$F$19:$F$30,BC23-$F$1)),"")</f>
        <v/>
      </c>
      <c r="BL23" s="3" t="str">
        <f t="shared" si="22"/>
        <v/>
      </c>
      <c r="BO23" s="1"/>
      <c r="BP23" s="1" t="str">
        <f t="shared" si="23"/>
        <v/>
      </c>
      <c r="BQ23" s="1" t="str">
        <f>IF(BP23="","",INDEX(SPO!$K:$K,Telai!BO23))</f>
        <v/>
      </c>
      <c r="BR23" s="3"/>
      <c r="BS23" s="3"/>
      <c r="BT23" s="1" t="str">
        <f t="shared" si="24"/>
        <v/>
      </c>
      <c r="BU23" s="3" t="str">
        <f>IF(BT23="tel x",IF(Dati!$B33="",$CE23,Dati!$B33),"")</f>
        <v/>
      </c>
      <c r="BV23" s="3" t="str">
        <f t="shared" si="37"/>
        <v/>
      </c>
      <c r="BW23" s="1" t="str">
        <f t="shared" si="25"/>
        <v/>
      </c>
      <c r="BX23" s="1" t="str">
        <f>IF(BW23="tel y",IF(INDEX(Dati!$F$19:$F$30,BP23-$F$1)="",BS23,INDEX(Dati!$F$19:$F$30,BP23-$F$1)),"")</f>
        <v/>
      </c>
      <c r="BY23" s="3" t="str">
        <f t="shared" si="26"/>
        <v/>
      </c>
    </row>
    <row r="24" spans="1:90">
      <c r="B24" s="1"/>
      <c r="C24" s="1" t="str">
        <f t="shared" si="6"/>
        <v/>
      </c>
      <c r="D24" s="1" t="str">
        <f>IF(C24="","",INDEX(SPO!$K:$K,Telai!B24))</f>
        <v/>
      </c>
      <c r="E24" s="3"/>
      <c r="F24" s="3"/>
      <c r="G24" s="1" t="str">
        <f t="shared" si="0"/>
        <v/>
      </c>
      <c r="H24" s="3" t="str">
        <f>IF(G24="tel x",IF(Dati!$B34="",$CE24,Dati!$B34),"")</f>
        <v/>
      </c>
      <c r="I24" s="3" t="str">
        <f t="shared" si="1"/>
        <v/>
      </c>
      <c r="J24" s="1" t="str">
        <f t="shared" si="2"/>
        <v/>
      </c>
      <c r="K24" s="1" t="str">
        <f>IF(J24="tel y",IF(INDEX(Dati!$F$19:$F$30,C24-$F$1)="",F24,INDEX(Dati!$F$19:$F$30,C24-$F$1)),"")</f>
        <v/>
      </c>
      <c r="L24" s="3" t="str">
        <f t="shared" si="3"/>
        <v/>
      </c>
      <c r="O24" s="1"/>
      <c r="P24" s="1" t="str">
        <f t="shared" si="7"/>
        <v/>
      </c>
      <c r="Q24" s="1" t="str">
        <f>IF(P24="","",INDEX(SPO!$K:$K,Telai!O24))</f>
        <v/>
      </c>
      <c r="R24" s="3"/>
      <c r="S24" s="3"/>
      <c r="T24" s="1" t="str">
        <f t="shared" si="8"/>
        <v/>
      </c>
      <c r="U24" s="3" t="str">
        <f>IF(T24="tel x",IF(Dati!$B34="",$CE24,Dati!$B34),"")</f>
        <v/>
      </c>
      <c r="V24" s="3" t="str">
        <f t="shared" si="33"/>
        <v/>
      </c>
      <c r="W24" s="1" t="str">
        <f t="shared" si="9"/>
        <v/>
      </c>
      <c r="X24" s="1" t="str">
        <f>IF(W24="tel y",IF(INDEX(Dati!$F$19:$F$30,P24-$F$1)="",S24,INDEX(Dati!$F$19:$F$30,P24-$F$1)),"")</f>
        <v/>
      </c>
      <c r="Y24" s="3" t="str">
        <f t="shared" si="10"/>
        <v/>
      </c>
      <c r="AB24" s="1"/>
      <c r="AC24" s="1" t="str">
        <f t="shared" si="11"/>
        <v/>
      </c>
      <c r="AD24" s="1" t="str">
        <f>IF(AC24="","",INDEX(SPO!$K:$K,Telai!AB24))</f>
        <v/>
      </c>
      <c r="AE24" s="3"/>
      <c r="AF24" s="3"/>
      <c r="AG24" s="1" t="str">
        <f t="shared" si="12"/>
        <v/>
      </c>
      <c r="AH24" s="3" t="str">
        <f>IF(AG24="tel x",IF(Dati!$B34="",$CE24,Dati!$B34),"")</f>
        <v/>
      </c>
      <c r="AI24" s="3" t="str">
        <f t="shared" si="34"/>
        <v/>
      </c>
      <c r="AJ24" s="1" t="str">
        <f t="shared" si="13"/>
        <v/>
      </c>
      <c r="AK24" s="1" t="str">
        <f>IF(AJ24="tel y",IF(INDEX(Dati!$F$19:$F$30,AC24-$F$1)="",AF24,INDEX(Dati!$F$19:$F$30,AC24-$F$1)),"")</f>
        <v/>
      </c>
      <c r="AL24" s="3" t="str">
        <f t="shared" si="14"/>
        <v/>
      </c>
      <c r="AO24" s="1"/>
      <c r="AP24" s="1" t="str">
        <f t="shared" si="15"/>
        <v/>
      </c>
      <c r="AQ24" s="1" t="str">
        <f>IF(AP24="","",INDEX(SPO!$K:$K,Telai!AO24))</f>
        <v/>
      </c>
      <c r="AR24" s="3"/>
      <c r="AS24" s="3"/>
      <c r="AT24" s="1" t="str">
        <f t="shared" si="16"/>
        <v/>
      </c>
      <c r="AU24" s="3" t="str">
        <f>IF(AT24="tel x",IF(Dati!$B34="",$CE24,Dati!$B34),"")</f>
        <v/>
      </c>
      <c r="AV24" s="3" t="str">
        <f t="shared" si="35"/>
        <v/>
      </c>
      <c r="AW24" s="1" t="str">
        <f t="shared" si="17"/>
        <v/>
      </c>
      <c r="AX24" s="1" t="str">
        <f>IF(AW24="tel y",IF(INDEX(Dati!$F$19:$F$30,AP24-$F$1)="",AS24,INDEX(Dati!$F$19:$F$30,AP24-$F$1)),"")</f>
        <v/>
      </c>
      <c r="AY24" s="3" t="str">
        <f t="shared" si="18"/>
        <v/>
      </c>
      <c r="BB24" s="1"/>
      <c r="BC24" s="1" t="str">
        <f t="shared" si="19"/>
        <v/>
      </c>
      <c r="BD24" s="1" t="str">
        <f>IF(BC24="","",INDEX(SPO!$K:$K,Telai!BB24))</f>
        <v/>
      </c>
      <c r="BE24" s="3"/>
      <c r="BF24" s="3"/>
      <c r="BG24" s="1" t="str">
        <f t="shared" si="20"/>
        <v/>
      </c>
      <c r="BH24" s="3" t="str">
        <f>IF(BG24="tel x",IF(Dati!$B34="",$CE24,Dati!$B34),"")</f>
        <v/>
      </c>
      <c r="BI24" s="3" t="str">
        <f t="shared" si="36"/>
        <v/>
      </c>
      <c r="BJ24" s="1" t="str">
        <f t="shared" si="21"/>
        <v/>
      </c>
      <c r="BK24" s="1" t="str">
        <f>IF(BJ24="tel y",IF(INDEX(Dati!$F$19:$F$30,BC24-$F$1)="",BF24,INDEX(Dati!$F$19:$F$30,BC24-$F$1)),"")</f>
        <v/>
      </c>
      <c r="BL24" s="3" t="str">
        <f t="shared" si="22"/>
        <v/>
      </c>
      <c r="BO24" s="1"/>
      <c r="BP24" s="1" t="str">
        <f t="shared" si="23"/>
        <v/>
      </c>
      <c r="BQ24" s="1" t="str">
        <f>IF(BP24="","",INDEX(SPO!$K:$K,Telai!BO24))</f>
        <v/>
      </c>
      <c r="BR24" s="3"/>
      <c r="BS24" s="3"/>
      <c r="BT24" s="1" t="str">
        <f t="shared" si="24"/>
        <v/>
      </c>
      <c r="BU24" s="3" t="str">
        <f>IF(BT24="tel x",IF(Dati!$B34="",$CE24,Dati!$B34),"")</f>
        <v/>
      </c>
      <c r="BV24" s="3" t="str">
        <f t="shared" si="37"/>
        <v/>
      </c>
      <c r="BW24" s="1" t="str">
        <f t="shared" si="25"/>
        <v/>
      </c>
      <c r="BX24" s="1" t="str">
        <f>IF(BW24="tel y",IF(INDEX(Dati!$F$19:$F$30,BP24-$F$1)="",BS24,INDEX(Dati!$F$19:$F$30,BP24-$F$1)),"")</f>
        <v/>
      </c>
      <c r="BY24" s="3" t="str">
        <f t="shared" si="26"/>
        <v/>
      </c>
    </row>
    <row r="25" spans="1:90">
      <c r="B25" s="1"/>
      <c r="C25" s="1" t="str">
        <f t="shared" si="6"/>
        <v/>
      </c>
      <c r="D25" s="1" t="str">
        <f>IF(C25="","",INDEX(SPO!$K:$K,Telai!B25))</f>
        <v/>
      </c>
      <c r="E25" s="3"/>
      <c r="F25" s="3"/>
      <c r="G25" s="1" t="str">
        <f t="shared" si="0"/>
        <v/>
      </c>
      <c r="H25" s="3" t="str">
        <f>IF(G25="tel x",IF(Dati!$B35="",$CE25,Dati!$B35),"")</f>
        <v/>
      </c>
      <c r="I25" s="3" t="str">
        <f t="shared" si="1"/>
        <v/>
      </c>
      <c r="J25" s="1" t="str">
        <f t="shared" si="2"/>
        <v/>
      </c>
      <c r="K25" s="1" t="str">
        <f>IF(J25="tel y",IF(INDEX(Dati!$F$19:$F$30,C25-$F$1)="",F25,INDEX(Dati!$F$19:$F$30,C25-$F$1)),"")</f>
        <v/>
      </c>
      <c r="L25" s="3" t="str">
        <f t="shared" si="3"/>
        <v/>
      </c>
      <c r="O25" s="1"/>
      <c r="P25" s="1" t="str">
        <f t="shared" si="7"/>
        <v/>
      </c>
      <c r="Q25" s="1" t="str">
        <f>IF(P25="","",INDEX(SPO!$K:$K,Telai!O25))</f>
        <v/>
      </c>
      <c r="R25" s="3"/>
      <c r="S25" s="3"/>
      <c r="T25" s="1" t="str">
        <f t="shared" si="8"/>
        <v/>
      </c>
      <c r="U25" s="3" t="str">
        <f>IF(T25="tel x",IF(Dati!$B35="",$CE25,Dati!$B35),"")</f>
        <v/>
      </c>
      <c r="V25" s="3" t="str">
        <f t="shared" si="33"/>
        <v/>
      </c>
      <c r="W25" s="1" t="str">
        <f t="shared" si="9"/>
        <v/>
      </c>
      <c r="X25" s="1" t="str">
        <f>IF(W25="tel y",IF(INDEX(Dati!$F$19:$F$30,P25-$F$1)="",S25,INDEX(Dati!$F$19:$F$30,P25-$F$1)),"")</f>
        <v/>
      </c>
      <c r="Y25" s="3" t="str">
        <f t="shared" si="10"/>
        <v/>
      </c>
      <c r="AB25" s="1"/>
      <c r="AC25" s="1" t="str">
        <f t="shared" si="11"/>
        <v/>
      </c>
      <c r="AD25" s="1" t="str">
        <f>IF(AC25="","",INDEX(SPO!$K:$K,Telai!AB25))</f>
        <v/>
      </c>
      <c r="AE25" s="3"/>
      <c r="AF25" s="3"/>
      <c r="AG25" s="1" t="str">
        <f t="shared" si="12"/>
        <v/>
      </c>
      <c r="AH25" s="3" t="str">
        <f>IF(AG25="tel x",IF(Dati!$B35="",$CE25,Dati!$B35),"")</f>
        <v/>
      </c>
      <c r="AI25" s="3" t="str">
        <f t="shared" si="34"/>
        <v/>
      </c>
      <c r="AJ25" s="1" t="str">
        <f t="shared" si="13"/>
        <v/>
      </c>
      <c r="AK25" s="1" t="str">
        <f>IF(AJ25="tel y",IF(INDEX(Dati!$F$19:$F$30,AC25-$F$1)="",AF25,INDEX(Dati!$F$19:$F$30,AC25-$F$1)),"")</f>
        <v/>
      </c>
      <c r="AL25" s="3" t="str">
        <f t="shared" si="14"/>
        <v/>
      </c>
      <c r="AO25" s="1"/>
      <c r="AP25" s="1" t="str">
        <f t="shared" si="15"/>
        <v/>
      </c>
      <c r="AQ25" s="1" t="str">
        <f>IF(AP25="","",INDEX(SPO!$K:$K,Telai!AO25))</f>
        <v/>
      </c>
      <c r="AR25" s="3"/>
      <c r="AS25" s="3"/>
      <c r="AT25" s="1" t="str">
        <f t="shared" si="16"/>
        <v/>
      </c>
      <c r="AU25" s="3" t="str">
        <f>IF(AT25="tel x",IF(Dati!$B35="",$CE25,Dati!$B35),"")</f>
        <v/>
      </c>
      <c r="AV25" s="3" t="str">
        <f t="shared" si="35"/>
        <v/>
      </c>
      <c r="AW25" s="1" t="str">
        <f t="shared" si="17"/>
        <v/>
      </c>
      <c r="AX25" s="1" t="str">
        <f>IF(AW25="tel y",IF(INDEX(Dati!$F$19:$F$30,AP25-$F$1)="",AS25,INDEX(Dati!$F$19:$F$30,AP25-$F$1)),"")</f>
        <v/>
      </c>
      <c r="AY25" s="3" t="str">
        <f t="shared" si="18"/>
        <v/>
      </c>
      <c r="BB25" s="1"/>
      <c r="BC25" s="1" t="str">
        <f t="shared" si="19"/>
        <v/>
      </c>
      <c r="BD25" s="1" t="str">
        <f>IF(BC25="","",INDEX(SPO!$K:$K,Telai!BB25))</f>
        <v/>
      </c>
      <c r="BE25" s="3"/>
      <c r="BF25" s="3"/>
      <c r="BG25" s="1" t="str">
        <f t="shared" si="20"/>
        <v/>
      </c>
      <c r="BH25" s="3" t="str">
        <f>IF(BG25="tel x",IF(Dati!$B35="",$CE25,Dati!$B35),"")</f>
        <v/>
      </c>
      <c r="BI25" s="3" t="str">
        <f t="shared" si="36"/>
        <v/>
      </c>
      <c r="BJ25" s="1" t="str">
        <f t="shared" si="21"/>
        <v/>
      </c>
      <c r="BK25" s="1" t="str">
        <f>IF(BJ25="tel y",IF(INDEX(Dati!$F$19:$F$30,BC25-$F$1)="",BF25,INDEX(Dati!$F$19:$F$30,BC25-$F$1)),"")</f>
        <v/>
      </c>
      <c r="BL25" s="3" t="str">
        <f t="shared" si="22"/>
        <v/>
      </c>
      <c r="BO25" s="1"/>
      <c r="BP25" s="1" t="str">
        <f t="shared" si="23"/>
        <v/>
      </c>
      <c r="BQ25" s="1" t="str">
        <f>IF(BP25="","",INDEX(SPO!$K:$K,Telai!BO25))</f>
        <v/>
      </c>
      <c r="BR25" s="3"/>
      <c r="BS25" s="3"/>
      <c r="BT25" s="1" t="str">
        <f t="shared" si="24"/>
        <v/>
      </c>
      <c r="BU25" s="3" t="str">
        <f>IF(BT25="tel x",IF(Dati!$B35="",$CE25,Dati!$B35),"")</f>
        <v/>
      </c>
      <c r="BV25" s="3" t="str">
        <f t="shared" si="37"/>
        <v/>
      </c>
      <c r="BW25" s="1" t="str">
        <f t="shared" si="25"/>
        <v/>
      </c>
      <c r="BX25" s="1" t="str">
        <f>IF(BW25="tel y",IF(INDEX(Dati!$F$19:$F$30,BP25-$F$1)="",BS25,INDEX(Dati!$F$19:$F$30,BP25-$F$1)),"")</f>
        <v/>
      </c>
      <c r="BY25" s="3" t="str">
        <f t="shared" si="26"/>
        <v/>
      </c>
    </row>
    <row r="26" spans="1:90">
      <c r="B26" s="1"/>
      <c r="C26" s="1" t="str">
        <f t="shared" si="6"/>
        <v/>
      </c>
      <c r="D26" s="1" t="str">
        <f>IF(C26="","",INDEX(SPO!$K:$K,Telai!B26))</f>
        <v/>
      </c>
      <c r="E26" s="3"/>
      <c r="F26" s="3"/>
      <c r="G26" s="1" t="str">
        <f t="shared" si="0"/>
        <v/>
      </c>
      <c r="H26" s="3" t="str">
        <f>IF(G26="tel x",IF(Dati!$B36="",$CE26,Dati!$B36),"")</f>
        <v/>
      </c>
      <c r="I26" s="3" t="str">
        <f t="shared" si="1"/>
        <v/>
      </c>
      <c r="J26" s="1" t="str">
        <f t="shared" si="2"/>
        <v/>
      </c>
      <c r="K26" s="1" t="str">
        <f>IF(J26="tel y",IF(INDEX(Dati!$F$19:$F$30,C26-$F$1)="",F26,INDEX(Dati!$F$19:$F$30,C26-$F$1)),"")</f>
        <v/>
      </c>
      <c r="L26" s="3" t="str">
        <f t="shared" si="3"/>
        <v/>
      </c>
      <c r="O26" s="1"/>
      <c r="P26" s="1" t="str">
        <f t="shared" si="7"/>
        <v/>
      </c>
      <c r="Q26" s="1" t="str">
        <f>IF(P26="","",INDEX(SPO!$K:$K,Telai!O26))</f>
        <v/>
      </c>
      <c r="R26" s="3"/>
      <c r="S26" s="3"/>
      <c r="T26" s="1" t="str">
        <f t="shared" si="8"/>
        <v/>
      </c>
      <c r="U26" s="3" t="str">
        <f>IF(T26="tel x",IF(Dati!$B36="",$CE26,Dati!$B36),"")</f>
        <v/>
      </c>
      <c r="V26" s="3" t="str">
        <f t="shared" si="33"/>
        <v/>
      </c>
      <c r="W26" s="1" t="str">
        <f t="shared" si="9"/>
        <v/>
      </c>
      <c r="X26" s="1" t="str">
        <f>IF(W26="tel y",IF(INDEX(Dati!$F$19:$F$30,P26-$F$1)="",S26,INDEX(Dati!$F$19:$F$30,P26-$F$1)),"")</f>
        <v/>
      </c>
      <c r="Y26" s="3" t="str">
        <f t="shared" si="10"/>
        <v/>
      </c>
      <c r="AB26" s="1"/>
      <c r="AC26" s="1" t="str">
        <f t="shared" si="11"/>
        <v/>
      </c>
      <c r="AD26" s="1" t="str">
        <f>IF(AC26="","",INDEX(SPO!$K:$K,Telai!AB26))</f>
        <v/>
      </c>
      <c r="AE26" s="3"/>
      <c r="AF26" s="3"/>
      <c r="AG26" s="1" t="str">
        <f t="shared" si="12"/>
        <v/>
      </c>
      <c r="AH26" s="3" t="str">
        <f>IF(AG26="tel x",IF(Dati!$B36="",$CE26,Dati!$B36),"")</f>
        <v/>
      </c>
      <c r="AI26" s="3" t="str">
        <f t="shared" si="34"/>
        <v/>
      </c>
      <c r="AJ26" s="1" t="str">
        <f t="shared" si="13"/>
        <v/>
      </c>
      <c r="AK26" s="1" t="str">
        <f>IF(AJ26="tel y",IF(INDEX(Dati!$F$19:$F$30,AC26-$F$1)="",AF26,INDEX(Dati!$F$19:$F$30,AC26-$F$1)),"")</f>
        <v/>
      </c>
      <c r="AL26" s="3" t="str">
        <f t="shared" si="14"/>
        <v/>
      </c>
      <c r="AO26" s="1"/>
      <c r="AP26" s="1" t="str">
        <f t="shared" si="15"/>
        <v/>
      </c>
      <c r="AQ26" s="1" t="str">
        <f>IF(AP26="","",INDEX(SPO!$K:$K,Telai!AO26))</f>
        <v/>
      </c>
      <c r="AR26" s="3"/>
      <c r="AS26" s="3"/>
      <c r="AT26" s="1" t="str">
        <f t="shared" si="16"/>
        <v/>
      </c>
      <c r="AU26" s="3" t="str">
        <f>IF(AT26="tel x",IF(Dati!$B36="",$CE26,Dati!$B36),"")</f>
        <v/>
      </c>
      <c r="AV26" s="3" t="str">
        <f t="shared" si="35"/>
        <v/>
      </c>
      <c r="AW26" s="1" t="str">
        <f t="shared" si="17"/>
        <v/>
      </c>
      <c r="AX26" s="1" t="str">
        <f>IF(AW26="tel y",IF(INDEX(Dati!$F$19:$F$30,AP26-$F$1)="",AS26,INDEX(Dati!$F$19:$F$30,AP26-$F$1)),"")</f>
        <v/>
      </c>
      <c r="AY26" s="3" t="str">
        <f t="shared" si="18"/>
        <v/>
      </c>
      <c r="BB26" s="1"/>
      <c r="BC26" s="1" t="str">
        <f t="shared" si="19"/>
        <v/>
      </c>
      <c r="BD26" s="1" t="str">
        <f>IF(BC26="","",INDEX(SPO!$K:$K,Telai!BB26))</f>
        <v/>
      </c>
      <c r="BE26" s="3"/>
      <c r="BF26" s="3"/>
      <c r="BG26" s="1" t="str">
        <f t="shared" si="20"/>
        <v/>
      </c>
      <c r="BH26" s="3" t="str">
        <f>IF(BG26="tel x",IF(Dati!$B36="",$CE26,Dati!$B36),"")</f>
        <v/>
      </c>
      <c r="BI26" s="3" t="str">
        <f t="shared" si="36"/>
        <v/>
      </c>
      <c r="BJ26" s="1" t="str">
        <f t="shared" si="21"/>
        <v/>
      </c>
      <c r="BK26" s="1" t="str">
        <f>IF(BJ26="tel y",IF(INDEX(Dati!$F$19:$F$30,BC26-$F$1)="",BF26,INDEX(Dati!$F$19:$F$30,BC26-$F$1)),"")</f>
        <v/>
      </c>
      <c r="BL26" s="3" t="str">
        <f t="shared" si="22"/>
        <v/>
      </c>
      <c r="BO26" s="1"/>
      <c r="BP26" s="1" t="str">
        <f t="shared" si="23"/>
        <v/>
      </c>
      <c r="BQ26" s="1" t="str">
        <f>IF(BP26="","",INDEX(SPO!$K:$K,Telai!BO26))</f>
        <v/>
      </c>
      <c r="BR26" s="3"/>
      <c r="BS26" s="3"/>
      <c r="BT26" s="1" t="str">
        <f t="shared" si="24"/>
        <v/>
      </c>
      <c r="BU26" s="3" t="str">
        <f>IF(BT26="tel x",IF(Dati!$B36="",$CE26,Dati!$B36),"")</f>
        <v/>
      </c>
      <c r="BV26" s="3" t="str">
        <f t="shared" si="37"/>
        <v/>
      </c>
      <c r="BW26" s="1" t="str">
        <f t="shared" si="25"/>
        <v/>
      </c>
      <c r="BX26" s="1" t="str">
        <f>IF(BW26="tel y",IF(INDEX(Dati!$F$19:$F$30,BP26-$F$1)="",BS26,INDEX(Dati!$F$19:$F$30,BP26-$F$1)),"")</f>
        <v/>
      </c>
      <c r="BY26" s="3" t="str">
        <f t="shared" si="26"/>
        <v/>
      </c>
    </row>
    <row r="27" spans="1:90">
      <c r="A27" s="6" t="s">
        <v>45</v>
      </c>
      <c r="B27" s="1"/>
      <c r="C27" s="1" t="str">
        <f t="shared" si="6"/>
        <v/>
      </c>
      <c r="D27" s="1" t="str">
        <f>IF(C27="","",INDEX(SPO!$K:$K,Telai!B27))</f>
        <v/>
      </c>
      <c r="E27" s="3"/>
      <c r="F27" s="3"/>
      <c r="G27" s="1" t="str">
        <f t="shared" si="0"/>
        <v/>
      </c>
      <c r="H27" s="3" t="str">
        <f>IF(G27="tel x",IF(Dati!$B37="",$CE27,Dati!$B37),"")</f>
        <v/>
      </c>
      <c r="I27" s="3" t="str">
        <f t="shared" si="1"/>
        <v/>
      </c>
      <c r="J27" s="1" t="str">
        <f t="shared" si="2"/>
        <v/>
      </c>
      <c r="K27" s="1" t="str">
        <f>IF(J27="tel y",IF(INDEX(Dati!$F$19:$F$30,C27-$F$1)="",F27,INDEX(Dati!$F$19:$F$30,C27-$F$1)),"")</f>
        <v/>
      </c>
      <c r="L27" s="3" t="str">
        <f t="shared" si="3"/>
        <v/>
      </c>
      <c r="N27" s="6" t="s">
        <v>45</v>
      </c>
      <c r="O27" s="1"/>
      <c r="P27" s="1" t="str">
        <f t="shared" si="7"/>
        <v/>
      </c>
      <c r="Q27" s="1" t="str">
        <f>IF(P27="","",INDEX(SPO!$K:$K,Telai!O27))</f>
        <v/>
      </c>
      <c r="R27" s="3"/>
      <c r="S27" s="3"/>
      <c r="T27" s="1" t="str">
        <f t="shared" si="8"/>
        <v/>
      </c>
      <c r="U27" s="3" t="str">
        <f>IF(T27="tel x",IF(Dati!$B37="",$CE27,Dati!$B37),"")</f>
        <v/>
      </c>
      <c r="V27" s="3" t="str">
        <f t="shared" si="33"/>
        <v/>
      </c>
      <c r="W27" s="1" t="str">
        <f t="shared" si="9"/>
        <v/>
      </c>
      <c r="X27" s="1" t="str">
        <f>IF(W27="tel y",IF(INDEX(Dati!$F$19:$F$30,P27-$F$1)="",S27,INDEX(Dati!$F$19:$F$30,P27-$F$1)),"")</f>
        <v/>
      </c>
      <c r="Y27" s="3" t="str">
        <f t="shared" si="10"/>
        <v/>
      </c>
      <c r="AA27" s="6" t="s">
        <v>45</v>
      </c>
      <c r="AB27" s="1"/>
      <c r="AC27" s="1" t="str">
        <f t="shared" si="11"/>
        <v/>
      </c>
      <c r="AD27" s="1" t="str">
        <f>IF(AC27="","",INDEX(SPO!$K:$K,Telai!AB27))</f>
        <v/>
      </c>
      <c r="AE27" s="3"/>
      <c r="AF27" s="3"/>
      <c r="AG27" s="1" t="str">
        <f t="shared" si="12"/>
        <v/>
      </c>
      <c r="AH27" s="3" t="str">
        <f>IF(AG27="tel x",IF(Dati!$B37="",$CE27,Dati!$B37),"")</f>
        <v/>
      </c>
      <c r="AI27" s="3" t="str">
        <f t="shared" si="34"/>
        <v/>
      </c>
      <c r="AJ27" s="1" t="str">
        <f t="shared" si="13"/>
        <v/>
      </c>
      <c r="AK27" s="1" t="str">
        <f>IF(AJ27="tel y",IF(INDEX(Dati!$F$19:$F$30,AC27-$F$1)="",AF27,INDEX(Dati!$F$19:$F$30,AC27-$F$1)),"")</f>
        <v/>
      </c>
      <c r="AL27" s="3" t="str">
        <f t="shared" si="14"/>
        <v/>
      </c>
      <c r="AN27" s="6" t="s">
        <v>45</v>
      </c>
      <c r="AO27" s="1"/>
      <c r="AP27" s="1" t="str">
        <f t="shared" si="15"/>
        <v/>
      </c>
      <c r="AQ27" s="1" t="str">
        <f>IF(AP27="","",INDEX(SPO!$K:$K,Telai!AO27))</f>
        <v/>
      </c>
      <c r="AR27" s="3"/>
      <c r="AS27" s="3"/>
      <c r="AT27" s="1" t="str">
        <f t="shared" si="16"/>
        <v/>
      </c>
      <c r="AU27" s="3" t="str">
        <f>IF(AT27="tel x",IF(Dati!$B37="",$CE27,Dati!$B37),"")</f>
        <v/>
      </c>
      <c r="AV27" s="3" t="str">
        <f t="shared" si="35"/>
        <v/>
      </c>
      <c r="AW27" s="1" t="str">
        <f t="shared" si="17"/>
        <v/>
      </c>
      <c r="AX27" s="1" t="str">
        <f>IF(AW27="tel y",IF(INDEX(Dati!$F$19:$F$30,AP27-$F$1)="",AS27,INDEX(Dati!$F$19:$F$30,AP27-$F$1)),"")</f>
        <v/>
      </c>
      <c r="AY27" s="3" t="str">
        <f t="shared" si="18"/>
        <v/>
      </c>
      <c r="BA27" s="6" t="s">
        <v>45</v>
      </c>
      <c r="BB27" s="1"/>
      <c r="BC27" s="1" t="str">
        <f t="shared" si="19"/>
        <v/>
      </c>
      <c r="BD27" s="1" t="str">
        <f>IF(BC27="","",INDEX(SPO!$K:$K,Telai!BB27))</f>
        <v/>
      </c>
      <c r="BE27" s="3"/>
      <c r="BF27" s="3"/>
      <c r="BG27" s="1" t="str">
        <f t="shared" si="20"/>
        <v/>
      </c>
      <c r="BH27" s="3" t="str">
        <f>IF(BG27="tel x",IF(Dati!$B37="",$CE27,Dati!$B37),"")</f>
        <v/>
      </c>
      <c r="BI27" s="3" t="str">
        <f t="shared" si="36"/>
        <v/>
      </c>
      <c r="BJ27" s="1" t="str">
        <f t="shared" si="21"/>
        <v/>
      </c>
      <c r="BK27" s="1" t="str">
        <f>IF(BJ27="tel y",IF(INDEX(Dati!$F$19:$F$30,BC27-$F$1)="",BF27,INDEX(Dati!$F$19:$F$30,BC27-$F$1)),"")</f>
        <v/>
      </c>
      <c r="BL27" s="3" t="str">
        <f t="shared" si="22"/>
        <v/>
      </c>
      <c r="BN27" s="6" t="s">
        <v>45</v>
      </c>
      <c r="BO27" s="1"/>
      <c r="BP27" s="1" t="str">
        <f t="shared" si="23"/>
        <v/>
      </c>
      <c r="BQ27" s="1" t="str">
        <f>IF(BP27="","",INDEX(SPO!$K:$K,Telai!BO27))</f>
        <v/>
      </c>
      <c r="BR27" s="3"/>
      <c r="BS27" s="3"/>
      <c r="BT27" s="1" t="str">
        <f t="shared" si="24"/>
        <v/>
      </c>
      <c r="BU27" s="3" t="str">
        <f>IF(BT27="tel x",IF(Dati!$B37="",$CE27,Dati!$B37),"")</f>
        <v/>
      </c>
      <c r="BV27" s="3" t="str">
        <f t="shared" si="37"/>
        <v/>
      </c>
      <c r="BW27" s="1" t="str">
        <f t="shared" si="25"/>
        <v/>
      </c>
      <c r="BX27" s="1" t="str">
        <f>IF(BW27="tel y",IF(INDEX(Dati!$F$19:$F$30,BP27-$F$1)="",BS27,INDEX(Dati!$F$19:$F$30,BP27-$F$1)),"")</f>
        <v/>
      </c>
      <c r="BY27" s="3" t="str">
        <f t="shared" si="26"/>
        <v/>
      </c>
    </row>
    <row r="28" spans="1:90">
      <c r="A28" s="6" t="s">
        <v>108</v>
      </c>
      <c r="B28" s="1"/>
      <c r="C28" s="13" t="str">
        <f t="shared" si="6"/>
        <v/>
      </c>
      <c r="D28" s="13" t="str">
        <f>IF(C28="","",INDEX(SPO!$K:$K,Telai!B28))</f>
        <v/>
      </c>
      <c r="E28" s="42"/>
      <c r="F28" s="42"/>
      <c r="G28" s="13" t="str">
        <f t="shared" si="0"/>
        <v/>
      </c>
      <c r="H28" s="42" t="str">
        <f>IF(G28="tel x",IF(Dati!$B38="",$CE28,Dati!$B38),"")</f>
        <v/>
      </c>
      <c r="I28" s="43"/>
      <c r="J28" s="13" t="str">
        <f t="shared" si="2"/>
        <v/>
      </c>
      <c r="K28" s="13" t="str">
        <f>IF(J28="tel y",IF(INDEX(Dati!$F$19:$F$30,C28-$F$1)="",F28,INDEX(Dati!$F$19:$F$30,C28-$F$1)),"")</f>
        <v/>
      </c>
      <c r="L28" s="43"/>
      <c r="N28" s="6" t="s">
        <v>108</v>
      </c>
      <c r="O28" s="1"/>
      <c r="P28" s="13" t="str">
        <f t="shared" si="7"/>
        <v/>
      </c>
      <c r="Q28" s="13" t="str">
        <f>IF(P28="","",INDEX(SPO!$K:$K,Telai!O28))</f>
        <v/>
      </c>
      <c r="R28" s="42"/>
      <c r="S28" s="42"/>
      <c r="T28" s="13" t="str">
        <f t="shared" si="8"/>
        <v/>
      </c>
      <c r="U28" s="42" t="str">
        <f>IF(T28="tel x",IF(Dati!$B38="",$CE28,Dati!$B38),"")</f>
        <v/>
      </c>
      <c r="V28" s="43"/>
      <c r="W28" s="13" t="str">
        <f t="shared" si="9"/>
        <v/>
      </c>
      <c r="X28" s="13" t="str">
        <f>IF(W28="tel y",IF(INDEX(Dati!$F$19:$F$30,P28-$F$1)="",S28,INDEX(Dati!$F$19:$F$30,P28-$F$1)),"")</f>
        <v/>
      </c>
      <c r="Y28" s="43"/>
      <c r="AA28" s="6" t="s">
        <v>108</v>
      </c>
      <c r="AB28" s="1"/>
      <c r="AC28" s="13" t="str">
        <f t="shared" si="11"/>
        <v/>
      </c>
      <c r="AD28" s="13" t="str">
        <f>IF(AC28="","",INDEX(SPO!$K:$K,Telai!AB28))</f>
        <v/>
      </c>
      <c r="AE28" s="42"/>
      <c r="AF28" s="42"/>
      <c r="AG28" s="13" t="str">
        <f t="shared" si="12"/>
        <v/>
      </c>
      <c r="AH28" s="42" t="str">
        <f>IF(AG28="tel x",IF(Dati!$B38="",$CE28,Dati!$B38),"")</f>
        <v/>
      </c>
      <c r="AI28" s="43"/>
      <c r="AJ28" s="13" t="str">
        <f t="shared" si="13"/>
        <v/>
      </c>
      <c r="AK28" s="13" t="str">
        <f>IF(AJ28="tel y",IF(INDEX(Dati!$F$19:$F$30,AC28-$F$1)="",AF28,INDEX(Dati!$F$19:$F$30,AC28-$F$1)),"")</f>
        <v/>
      </c>
      <c r="AL28" s="43"/>
      <c r="AN28" s="6" t="s">
        <v>108</v>
      </c>
      <c r="AO28" s="1"/>
      <c r="AP28" s="13" t="str">
        <f t="shared" si="15"/>
        <v/>
      </c>
      <c r="AQ28" s="13" t="str">
        <f>IF(AP28="","",INDEX(SPO!$K:$K,Telai!AO28))</f>
        <v/>
      </c>
      <c r="AR28" s="42"/>
      <c r="AS28" s="42"/>
      <c r="AT28" s="13" t="str">
        <f t="shared" si="16"/>
        <v/>
      </c>
      <c r="AU28" s="42" t="str">
        <f>IF(AT28="tel x",IF(Dati!$B38="",$CE28,Dati!$B38),"")</f>
        <v/>
      </c>
      <c r="AV28" s="43"/>
      <c r="AW28" s="13" t="str">
        <f t="shared" si="17"/>
        <v/>
      </c>
      <c r="AX28" s="13" t="str">
        <f>IF(AW28="tel y",IF(INDEX(Dati!$F$19:$F$30,AP28-$F$1)="",AS28,INDEX(Dati!$F$19:$F$30,AP28-$F$1)),"")</f>
        <v/>
      </c>
      <c r="AY28" s="43"/>
      <c r="BA28" s="6" t="s">
        <v>108</v>
      </c>
      <c r="BB28" s="1"/>
      <c r="BC28" s="13" t="str">
        <f t="shared" si="19"/>
        <v/>
      </c>
      <c r="BD28" s="13" t="str">
        <f>IF(BC28="","",INDEX(SPO!$K:$K,Telai!BB28))</f>
        <v/>
      </c>
      <c r="BE28" s="42"/>
      <c r="BF28" s="42"/>
      <c r="BG28" s="13" t="str">
        <f t="shared" si="20"/>
        <v/>
      </c>
      <c r="BH28" s="42" t="str">
        <f>IF(BG28="tel x",IF(Dati!$B38="",$CE28,Dati!$B38),"")</f>
        <v/>
      </c>
      <c r="BI28" s="43"/>
      <c r="BJ28" s="13" t="str">
        <f t="shared" si="21"/>
        <v/>
      </c>
      <c r="BK28" s="13" t="str">
        <f>IF(BJ28="tel y",IF(INDEX(Dati!$F$19:$F$30,BC28-$F$1)="",BF28,INDEX(Dati!$F$19:$F$30,BC28-$F$1)),"")</f>
        <v/>
      </c>
      <c r="BL28" s="43"/>
      <c r="BN28" s="6" t="s">
        <v>108</v>
      </c>
      <c r="BO28" s="1"/>
      <c r="BP28" s="13" t="str">
        <f t="shared" si="23"/>
        <v/>
      </c>
      <c r="BQ28" s="13" t="str">
        <f>IF(BP28="","",INDEX(SPO!$K:$K,Telai!BO28))</f>
        <v/>
      </c>
      <c r="BR28" s="42"/>
      <c r="BS28" s="42"/>
      <c r="BT28" s="13" t="str">
        <f t="shared" si="24"/>
        <v/>
      </c>
      <c r="BU28" s="42" t="str">
        <f>IF(BT28="tel x",IF(Dati!$B38="",$CE28,Dati!$B38),"")</f>
        <v/>
      </c>
      <c r="BV28" s="43"/>
      <c r="BW28" s="13" t="str">
        <f t="shared" si="25"/>
        <v/>
      </c>
      <c r="BX28" s="13" t="str">
        <f>IF(BW28="tel y",IF(INDEX(Dati!$F$19:$F$30,BP28-$F$1)="",BS28,INDEX(Dati!$F$19:$F$30,BP28-$F$1)),"")</f>
        <v/>
      </c>
      <c r="BY28" s="43"/>
    </row>
    <row r="31" spans="1:90">
      <c r="C31" s="44" t="s">
        <v>99</v>
      </c>
      <c r="P31" s="44" t="s">
        <v>99</v>
      </c>
      <c r="AC31" s="44" t="s">
        <v>99</v>
      </c>
      <c r="AP31" s="44" t="s">
        <v>99</v>
      </c>
      <c r="BC31" s="44" t="s">
        <v>99</v>
      </c>
      <c r="BP31" s="44" t="s">
        <v>99</v>
      </c>
    </row>
    <row r="32" spans="1:90">
      <c r="B32" s="6" t="s">
        <v>4</v>
      </c>
      <c r="C32" s="6" t="s">
        <v>105</v>
      </c>
      <c r="D32" s="6" t="s">
        <v>8</v>
      </c>
      <c r="E32" s="6" t="s">
        <v>18</v>
      </c>
      <c r="F32" s="6" t="s">
        <v>101</v>
      </c>
      <c r="G32" s="6" t="s">
        <v>102</v>
      </c>
      <c r="H32" s="6" t="s">
        <v>103</v>
      </c>
      <c r="I32" s="6" t="s">
        <v>104</v>
      </c>
      <c r="O32" s="6" t="s">
        <v>4</v>
      </c>
      <c r="P32" s="6" t="s">
        <v>105</v>
      </c>
      <c r="Q32" s="6" t="s">
        <v>8</v>
      </c>
      <c r="R32" s="6" t="s">
        <v>18</v>
      </c>
      <c r="S32" s="6" t="s">
        <v>101</v>
      </c>
      <c r="T32" s="6" t="s">
        <v>102</v>
      </c>
      <c r="U32" s="6" t="s">
        <v>103</v>
      </c>
      <c r="V32" s="6" t="s">
        <v>104</v>
      </c>
      <c r="AB32" s="6" t="s">
        <v>4</v>
      </c>
      <c r="AC32" s="6" t="s">
        <v>105</v>
      </c>
      <c r="AD32" s="6" t="s">
        <v>8</v>
      </c>
      <c r="AE32" s="6" t="s">
        <v>18</v>
      </c>
      <c r="AF32" s="6" t="s">
        <v>101</v>
      </c>
      <c r="AG32" s="6" t="s">
        <v>102</v>
      </c>
      <c r="AH32" s="6" t="s">
        <v>103</v>
      </c>
      <c r="AI32" s="6" t="s">
        <v>104</v>
      </c>
      <c r="AO32" s="6" t="s">
        <v>4</v>
      </c>
      <c r="AP32" s="6" t="s">
        <v>105</v>
      </c>
      <c r="AQ32" s="6" t="s">
        <v>8</v>
      </c>
      <c r="AR32" s="6" t="s">
        <v>18</v>
      </c>
      <c r="AS32" s="6" t="s">
        <v>101</v>
      </c>
      <c r="AT32" s="6" t="s">
        <v>102</v>
      </c>
      <c r="AU32" s="6" t="s">
        <v>103</v>
      </c>
      <c r="AV32" s="6" t="s">
        <v>104</v>
      </c>
      <c r="BB32" s="6" t="s">
        <v>4</v>
      </c>
      <c r="BC32" s="6" t="s">
        <v>105</v>
      </c>
      <c r="BD32" s="6" t="s">
        <v>8</v>
      </c>
      <c r="BE32" s="6" t="s">
        <v>18</v>
      </c>
      <c r="BF32" s="6" t="s">
        <v>101</v>
      </c>
      <c r="BG32" s="6" t="s">
        <v>102</v>
      </c>
      <c r="BH32" s="6" t="s">
        <v>103</v>
      </c>
      <c r="BI32" s="6" t="s">
        <v>104</v>
      </c>
      <c r="BO32" s="6" t="s">
        <v>4</v>
      </c>
      <c r="BP32" s="6" t="s">
        <v>105</v>
      </c>
      <c r="BQ32" s="6" t="s">
        <v>8</v>
      </c>
      <c r="BR32" s="6" t="s">
        <v>18</v>
      </c>
      <c r="BS32" s="6" t="s">
        <v>101</v>
      </c>
      <c r="BT32" s="6" t="s">
        <v>102</v>
      </c>
      <c r="BU32" s="6" t="s">
        <v>103</v>
      </c>
      <c r="BV32" s="6" t="s">
        <v>104</v>
      </c>
    </row>
    <row r="33" spans="1:74">
      <c r="A33" s="36"/>
      <c r="B33" s="45">
        <f>A4</f>
        <v>5</v>
      </c>
      <c r="C33" s="1">
        <v>1</v>
      </c>
      <c r="D33" s="3">
        <f>IF(C33="","",IF(Dati!$B19="",VLOOKUP(C33,C$9:L$28,6,FALSE),Dati!$B19))</f>
        <v>0.15</v>
      </c>
      <c r="E33" s="1">
        <f>IF(C33="","",(C33-1)*Modi!$B$51+2+($F$1-B33))</f>
        <v>2</v>
      </c>
      <c r="F33" s="2">
        <f>IF(C33="","",INDEX(SPO!$H:$H,E33,1))</f>
        <v>12.951000000000001</v>
      </c>
      <c r="G33" s="2">
        <f>IF(C33="","",INDEX(SPO!$I:$I,E33,1))</f>
        <v>4.7229999999999999</v>
      </c>
      <c r="H33" s="2">
        <f>IF(C33="","",INDEX(SPO!$J:$J,E33,1))</f>
        <v>0.77200000000000002</v>
      </c>
      <c r="I33" s="2">
        <f>IF(C33="","",INDEX(SPO!$K:$K,E33,1))</f>
        <v>1.1359999999999999</v>
      </c>
      <c r="N33" s="36"/>
      <c r="O33" s="45">
        <f>N4</f>
        <v>4</v>
      </c>
      <c r="P33" s="1">
        <v>1</v>
      </c>
      <c r="Q33" s="3">
        <f>IF(P33="","",IF(Dati!$B19="",VLOOKUP(P33,P$9:Y$28,6,FALSE),Dati!$B19))</f>
        <v>0.15</v>
      </c>
      <c r="R33" s="1">
        <f>IF(P33="","",(P33-1)*Modi!$B$51+2+($F$1-O33))</f>
        <v>3</v>
      </c>
      <c r="S33" s="2">
        <f>IF(P33="","",INDEX(SPO!$H:$H,R33,1))</f>
        <v>11.58</v>
      </c>
      <c r="T33" s="2">
        <f>IF(P33="","",INDEX(SPO!$I:$I,R33,1))</f>
        <v>4.1970000000000001</v>
      </c>
      <c r="U33" s="2">
        <f>IF(P33="","",INDEX(SPO!$J:$J,R33,1))</f>
        <v>0.68200000000000005</v>
      </c>
      <c r="V33" s="2">
        <f>IF(P33="","",INDEX(SPO!$K:$K,R33,1))</f>
        <v>1.004</v>
      </c>
      <c r="AA33" s="36"/>
      <c r="AB33" s="45">
        <f>AA4</f>
        <v>3</v>
      </c>
      <c r="AC33" s="1">
        <v>1</v>
      </c>
      <c r="AD33" s="3">
        <f>IF(AC33="","",IF(Dati!$B19="",VLOOKUP(AC33,AC$9:AL$28,6,FALSE),Dati!$B19))</f>
        <v>0.15</v>
      </c>
      <c r="AE33" s="1">
        <f>IF(AC33="","",(AC33-1)*Modi!$B$51+2+($F$1-AB33))</f>
        <v>4</v>
      </c>
      <c r="AF33" s="2">
        <f>IF(AC33="","",INDEX(SPO!$H:$H,AE33,1))</f>
        <v>9.4079999999999995</v>
      </c>
      <c r="AG33" s="2">
        <f>IF(AC33="","",INDEX(SPO!$I:$I,AE33,1))</f>
        <v>3.3809999999999998</v>
      </c>
      <c r="AH33" s="2">
        <f>IF(AC33="","",INDEX(SPO!$J:$J,AE33,1))</f>
        <v>0.54700000000000004</v>
      </c>
      <c r="AI33" s="2">
        <f>IF(AC33="","",INDEX(SPO!$K:$K,AE33,1))</f>
        <v>0.80500000000000005</v>
      </c>
      <c r="AN33" s="36"/>
      <c r="AO33" s="45">
        <f>AN4</f>
        <v>2</v>
      </c>
      <c r="AP33" s="1">
        <v>1</v>
      </c>
      <c r="AQ33" s="3">
        <f>IF(AP33="","",IF(Dati!$B19="",VLOOKUP(AP33,AP$9:AY$28,6,FALSE),Dati!$B19))</f>
        <v>0.15</v>
      </c>
      <c r="AR33" s="1">
        <f>IF(AP33="","",(AP33-1)*Modi!$B$51+2+($F$1-AO33))</f>
        <v>5</v>
      </c>
      <c r="AS33" s="2">
        <f>IF(AP33="","",INDEX(SPO!$H:$H,AR33,1))</f>
        <v>6.4770000000000003</v>
      </c>
      <c r="AT33" s="2">
        <f>IF(AP33="","",INDEX(SPO!$I:$I,AR33,1))</f>
        <v>2.2869999999999999</v>
      </c>
      <c r="AU33" s="2">
        <f>IF(AP33="","",INDEX(SPO!$J:$J,AR33,1))</f>
        <v>0.371</v>
      </c>
      <c r="AV33" s="2">
        <f>IF(AP33="","",INDEX(SPO!$K:$K,AR33,1))</f>
        <v>0.54600000000000004</v>
      </c>
      <c r="BA33" s="36"/>
      <c r="BB33" s="45">
        <f>BA4</f>
        <v>1</v>
      </c>
      <c r="BC33" s="1">
        <v>1</v>
      </c>
      <c r="BD33" s="3">
        <f>IF(BC33="","",IF(Dati!$B19="",VLOOKUP(BC33,BC$9:BL$28,6,FALSE),Dati!$B19))</f>
        <v>0.15</v>
      </c>
      <c r="BE33" s="1">
        <f>IF(BC33="","",(BC33-1)*Modi!$B$51+2+($F$1-BB33))</f>
        <v>6</v>
      </c>
      <c r="BF33" s="2">
        <f>IF(BC33="","",INDEX(SPO!$H:$H,BE33,1))</f>
        <v>3.0720000000000001</v>
      </c>
      <c r="BG33" s="2">
        <f>IF(BC33="","",INDEX(SPO!$I:$I,BE33,1))</f>
        <v>1.042</v>
      </c>
      <c r="BH33" s="2">
        <f>IF(BC33="","",INDEX(SPO!$J:$J,BE33,1))</f>
        <v>0.17199999999999999</v>
      </c>
      <c r="BI33" s="2">
        <f>IF(BC33="","",INDEX(SPO!$K:$K,BE33,1))</f>
        <v>0.254</v>
      </c>
      <c r="BN33" s="36"/>
      <c r="BO33" s="45">
        <f>BN4</f>
        <v>1</v>
      </c>
      <c r="BP33" s="1">
        <v>1</v>
      </c>
      <c r="BQ33" s="3">
        <f>IF(BP33="","",IF(Dati!$B19="",VLOOKUP(BP33,BP$9:BY$28,6,FALSE),Dati!$B19))</f>
        <v>0.15</v>
      </c>
      <c r="BR33" s="1">
        <f>IF(BP33="","",(BP33-1)*Modi!$B$51+2+($F$1-BO33))</f>
        <v>6</v>
      </c>
      <c r="BS33" s="2">
        <f>IF(BP33="","",INDEX(SPO!$H:$H,BR33,1))</f>
        <v>3.0720000000000001</v>
      </c>
      <c r="BT33" s="2">
        <f>IF(BP33="","",INDEX(SPO!$I:$I,BR33,1))</f>
        <v>1.042</v>
      </c>
      <c r="BU33" s="2">
        <f>IF(BP33="","",INDEX(SPO!$J:$J,BR33,1))</f>
        <v>0.17199999999999999</v>
      </c>
      <c r="BV33" s="2">
        <f>IF(BP33="","",INDEX(SPO!$K:$K,BR33,1))</f>
        <v>0.254</v>
      </c>
    </row>
    <row r="34" spans="1:74">
      <c r="C34" s="1"/>
      <c r="D34" s="3">
        <f>IF(C35="","",VLOOKUP(C33,C$9:L$28,7,FALSE))</f>
        <v>2.35</v>
      </c>
      <c r="F34" s="2">
        <f>IF(C35="","",F33+(F35-F33)*(D34-D33)/(D35-D33))</f>
        <v>12.865499999999999</v>
      </c>
      <c r="G34" s="2">
        <f>IF(D35="","",G33+(G35-G33)*(D34-D33)/(D35-D33))</f>
        <v>3.1214999999999993</v>
      </c>
      <c r="H34" s="2">
        <f>IF(E35="","",H33+(H35-H33)*(D34-D33)/(D35-D33))</f>
        <v>0.47599999999999992</v>
      </c>
      <c r="I34" s="2">
        <f>IF(F35="","",I33+(I35-I33)*(D34-D33)/(D35-D33))</f>
        <v>0.7004999999999999</v>
      </c>
      <c r="P34" s="1"/>
      <c r="Q34" s="3">
        <f>IF(P35="","",VLOOKUP(P33,P$9:Y$28,7,FALSE))</f>
        <v>2.35</v>
      </c>
      <c r="S34" s="2">
        <f>IF(P35="","",S33+(S35-S33)*(Q34-Q33)/(Q35-Q33))</f>
        <v>11.4915</v>
      </c>
      <c r="T34" s="2">
        <f>IF(Q35="","",T33+(T35-T33)*(Q34-Q33)/(Q35-Q33))</f>
        <v>2.7824999999999998</v>
      </c>
      <c r="U34" s="2">
        <f>IF(R35="","",U33+(U35-U33)*(Q34-Q33)/(Q35-Q33))</f>
        <v>0.42199999999999999</v>
      </c>
      <c r="V34" s="2">
        <f>IF(S35="","",V33+(V35-V33)*(Q34-Q33)/(Q35-Q33))</f>
        <v>0.62099999999999989</v>
      </c>
      <c r="AC34" s="1"/>
      <c r="AD34" s="3">
        <f>IF(AC35="","",VLOOKUP(AC33,AC$9:AL$28,7,FALSE))</f>
        <v>2.35</v>
      </c>
      <c r="AF34" s="2">
        <f>IF(AC35="","",AF33+(AF35-AF33)*(AD34-AD33)/(AD35-AD33))</f>
        <v>9.3259999999999987</v>
      </c>
      <c r="AG34" s="2">
        <f>IF(AD35="","",AG33+(AG35-AG33)*(AD34-AD33)/(AD35-AD33))</f>
        <v>2.2489999999999997</v>
      </c>
      <c r="AH34" s="2">
        <f>IF(AE35="","",AH33+(AH35-AH33)*(AD34-AD33)/(AD35-AD33))</f>
        <v>0.33999999999999997</v>
      </c>
      <c r="AI34" s="2">
        <f>IF(AF35="","",AI33+(AI35-AI33)*(AD34-AD33)/(AD35-AD33))</f>
        <v>0.49999999999999994</v>
      </c>
      <c r="AP34" s="1"/>
      <c r="AQ34" s="3">
        <f>IF(AP35="","",VLOOKUP(AP33,AP$9:AY$28,7,FALSE))</f>
        <v>2.35</v>
      </c>
      <c r="AS34" s="2">
        <f>IF(AP35="","",AS33+(AS35-AS33)*(AQ34-AQ33)/(AQ35-AQ33))</f>
        <v>6.4109999999999996</v>
      </c>
      <c r="AT34" s="2">
        <f>IF(AQ35="","",AT33+(AT35-AT33)*(AQ34-AQ33)/(AQ35-AQ33))</f>
        <v>1.5294999999999996</v>
      </c>
      <c r="AU34" s="2">
        <f>IF(AR35="","",AU33+(AU35-AU33)*(AQ34-AQ33)/(AQ35-AQ33))</f>
        <v>0.23199999999999996</v>
      </c>
      <c r="AV34" s="2">
        <f>IF(AS35="","",AV33+(AV35-AV33)*(AQ34-AQ33)/(AQ35-AQ33))</f>
        <v>0.34099999999999997</v>
      </c>
      <c r="BC34" s="1"/>
      <c r="BD34" s="3">
        <f>IF(BC35="","",VLOOKUP(BC33,BC$9:BL$28,7,FALSE))</f>
        <v>2.35</v>
      </c>
      <c r="BF34" s="2">
        <f>IF(BC35="","",BF33+(BF35-BF33)*(BD34-BD33)/(BD35-BD33))</f>
        <v>3.0329999999999999</v>
      </c>
      <c r="BG34" s="2">
        <f>IF(BD35="","",BG33+(BG35-BG33)*(BD34-BD33)/(BD35-BD33))</f>
        <v>0.70399999999999996</v>
      </c>
      <c r="BH34" s="2">
        <f>IF(BE35="","",BH33+(BH35-BH33)*(BD34-BD33)/(BD35-BD33))</f>
        <v>0.10899999999999997</v>
      </c>
      <c r="BI34" s="2">
        <f>IF(BF35="","",BI33+(BI35-BI33)*(BD34-BD33)/(BD35-BD33))</f>
        <v>0.16049999999999998</v>
      </c>
      <c r="BP34" s="1"/>
      <c r="BQ34" s="3">
        <f>IF(BP35="","",VLOOKUP(BP33,BP$9:BY$28,7,FALSE))</f>
        <v>2.35</v>
      </c>
      <c r="BS34" s="2">
        <f>IF(BP35="","",BS33+(BS35-BS33)*(BQ34-BQ33)/(BQ35-BQ33))</f>
        <v>3.0329999999999999</v>
      </c>
      <c r="BT34" s="2">
        <f>IF(BQ35="","",BT33+(BT35-BT33)*(BQ34-BQ33)/(BQ35-BQ33))</f>
        <v>0.70399999999999996</v>
      </c>
      <c r="BU34" s="2">
        <f>IF(BR35="","",BU33+(BU35-BU33)*(BQ34-BQ33)/(BQ35-BQ33))</f>
        <v>0.10899999999999997</v>
      </c>
      <c r="BV34" s="2">
        <f>IF(BS35="","",BV33+(BV35-BV33)*(BQ34-BQ33)/(BQ35-BQ33))</f>
        <v>0.16049999999999998</v>
      </c>
    </row>
    <row r="35" spans="1:74">
      <c r="B35" s="1">
        <f>IF(C35="","",B33)</f>
        <v>5</v>
      </c>
      <c r="C35" s="1">
        <f>IF(C33&lt;$F$1,C33+1,"")</f>
        <v>2</v>
      </c>
      <c r="D35" s="3">
        <f>IF(C35="","",IF(Dati!$B20="",VLOOKUP(C35,C$9:L$28,6,FALSE),Dati!$B20))</f>
        <v>4.55</v>
      </c>
      <c r="E35" s="1">
        <f>IF(C35="","",(C35-1)*Modi!$B$51+2+($F$1-B35))</f>
        <v>7</v>
      </c>
      <c r="F35" s="2">
        <f>IF(C35="","",INDEX(SPO!$H:$H,E35,1))</f>
        <v>12.78</v>
      </c>
      <c r="G35" s="2">
        <f>IF(C35="","",INDEX(SPO!$I:$I,E35,1))</f>
        <v>1.52</v>
      </c>
      <c r="H35" s="2">
        <f>IF(C35="","",INDEX(SPO!$J:$J,E35,1))</f>
        <v>0.18</v>
      </c>
      <c r="I35" s="2">
        <f>IF(C35="","",INDEX(SPO!$K:$K,E35,1))</f>
        <v>0.26500000000000001</v>
      </c>
      <c r="O35" s="1">
        <f>IF(P35="","",O33)</f>
        <v>4</v>
      </c>
      <c r="P35" s="1">
        <f>IF(P33&lt;$F$1,P33+1,"")</f>
        <v>2</v>
      </c>
      <c r="Q35" s="3">
        <f>IF(P35="","",IF(Dati!$B20="",VLOOKUP(P35,P$9:Y$28,6,FALSE),Dati!$B20))</f>
        <v>4.55</v>
      </c>
      <c r="R35" s="1">
        <f>IF(P35="","",(P35-1)*Modi!$B$51+2+($F$1-O35))</f>
        <v>8</v>
      </c>
      <c r="S35" s="2">
        <f>IF(P35="","",INDEX(SPO!$H:$H,R35,1))</f>
        <v>11.403</v>
      </c>
      <c r="T35" s="2">
        <f>IF(P35="","",INDEX(SPO!$I:$I,R35,1))</f>
        <v>1.3680000000000001</v>
      </c>
      <c r="U35" s="2">
        <f>IF(P35="","",INDEX(SPO!$J:$J,R35,1))</f>
        <v>0.16200000000000001</v>
      </c>
      <c r="V35" s="2">
        <f>IF(P35="","",INDEX(SPO!$K:$K,R35,1))</f>
        <v>0.23799999999999999</v>
      </c>
      <c r="AB35" s="1">
        <f>IF(AC35="","",AB33)</f>
        <v>3</v>
      </c>
      <c r="AC35" s="1">
        <f>IF(AC33&lt;$F$1,AC33+1,"")</f>
        <v>2</v>
      </c>
      <c r="AD35" s="3">
        <f>IF(AC35="","",IF(Dati!$B20="",VLOOKUP(AC35,AC$9:AL$28,6,FALSE),Dati!$B20))</f>
        <v>4.55</v>
      </c>
      <c r="AE35" s="1">
        <f>IF(AC35="","",(AC35-1)*Modi!$B$51+2+($F$1-AB35))</f>
        <v>9</v>
      </c>
      <c r="AF35" s="2">
        <f>IF(AC35="","",INDEX(SPO!$H:$H,AE35,1))</f>
        <v>9.2439999999999998</v>
      </c>
      <c r="AG35" s="2">
        <f>IF(AC35="","",INDEX(SPO!$I:$I,AE35,1))</f>
        <v>1.117</v>
      </c>
      <c r="AH35" s="2">
        <f>IF(AC35="","",INDEX(SPO!$J:$J,AE35,1))</f>
        <v>0.13300000000000001</v>
      </c>
      <c r="AI35" s="2">
        <f>IF(AC35="","",INDEX(SPO!$K:$K,AE35,1))</f>
        <v>0.19500000000000001</v>
      </c>
      <c r="AO35" s="1">
        <f>IF(AP35="","",AO33)</f>
        <v>2</v>
      </c>
      <c r="AP35" s="1">
        <f>IF(AP33&lt;$F$1,AP33+1,"")</f>
        <v>2</v>
      </c>
      <c r="AQ35" s="3">
        <f>IF(AP35="","",IF(Dati!$B20="",VLOOKUP(AP35,AP$9:AY$28,6,FALSE),Dati!$B20))</f>
        <v>4.55</v>
      </c>
      <c r="AR35" s="1">
        <f>IF(AP35="","",(AP35-1)*Modi!$B$51+2+($F$1-AO35))</f>
        <v>10</v>
      </c>
      <c r="AS35" s="2">
        <f>IF(AP35="","",INDEX(SPO!$H:$H,AR35,1))</f>
        <v>6.3449999999999998</v>
      </c>
      <c r="AT35" s="2">
        <f>IF(AP35="","",INDEX(SPO!$I:$I,AR35,1))</f>
        <v>0.77200000000000002</v>
      </c>
      <c r="AU35" s="2">
        <f>IF(AP35="","",INDEX(SPO!$J:$J,AR35,1))</f>
        <v>9.2999999999999999E-2</v>
      </c>
      <c r="AV35" s="2">
        <f>IF(AP35="","",INDEX(SPO!$K:$K,AR35,1))</f>
        <v>0.13600000000000001</v>
      </c>
      <c r="BB35" s="1">
        <f>IF(BC35="","",BB33)</f>
        <v>1</v>
      </c>
      <c r="BC35" s="1">
        <f>IF(BC33&lt;$F$1,BC33+1,"")</f>
        <v>2</v>
      </c>
      <c r="BD35" s="3">
        <f>IF(BC35="","",IF(Dati!$B20="",VLOOKUP(BC35,BC$9:BL$28,6,FALSE),Dati!$B20))</f>
        <v>4.55</v>
      </c>
      <c r="BE35" s="1">
        <f>IF(BC35="","",(BC35-1)*Modi!$B$51+2+($F$1-BB35))</f>
        <v>11</v>
      </c>
      <c r="BF35" s="2">
        <f>IF(BC35="","",INDEX(SPO!$H:$H,BE35,1))</f>
        <v>2.9940000000000002</v>
      </c>
      <c r="BG35" s="2">
        <f>IF(BC35="","",INDEX(SPO!$I:$I,BE35,1))</f>
        <v>0.36599999999999999</v>
      </c>
      <c r="BH35" s="2">
        <f>IF(BC35="","",INDEX(SPO!$J:$J,BE35,1))</f>
        <v>4.5999999999999999E-2</v>
      </c>
      <c r="BI35" s="2">
        <f>IF(BC35="","",INDEX(SPO!$K:$K,BE35,1))</f>
        <v>6.7000000000000004E-2</v>
      </c>
      <c r="BO35" s="1">
        <f>IF(BP35="","",BO33)</f>
        <v>1</v>
      </c>
      <c r="BP35" s="1">
        <f>IF(BP33&lt;$F$1,BP33+1,"")</f>
        <v>2</v>
      </c>
      <c r="BQ35" s="3">
        <f>IF(BP35="","",IF(Dati!$B20="",VLOOKUP(BP35,BP$9:BY$28,6,FALSE),Dati!$B20))</f>
        <v>4.55</v>
      </c>
      <c r="BR35" s="1">
        <f>IF(BP35="","",(BP35-1)*Modi!$B$51+2+($F$1-BO35))</f>
        <v>11</v>
      </c>
      <c r="BS35" s="2">
        <f>IF(BP35="","",INDEX(SPO!$H:$H,BR35,1))</f>
        <v>2.9940000000000002</v>
      </c>
      <c r="BT35" s="2">
        <f>IF(BP35="","",INDEX(SPO!$I:$I,BR35,1))</f>
        <v>0.36599999999999999</v>
      </c>
      <c r="BU35" s="2">
        <f>IF(BP35="","",INDEX(SPO!$J:$J,BR35,1))</f>
        <v>4.5999999999999999E-2</v>
      </c>
      <c r="BV35" s="2">
        <f>IF(BP35="","",INDEX(SPO!$K:$K,BR35,1))</f>
        <v>6.7000000000000004E-2</v>
      </c>
    </row>
    <row r="36" spans="1:74">
      <c r="C36" s="1"/>
      <c r="D36" s="3">
        <f>IF(C37="","",VLOOKUP(C35,C$9:L$28,7,FALSE))</f>
        <v>6.65</v>
      </c>
      <c r="F36" s="2">
        <f>IF(C37="","",F35+(F37-F35)*(D36-D35)/(D37-D35))</f>
        <v>12.704499999999999</v>
      </c>
      <c r="G36" s="2">
        <f>IF(D37="","",G35+(G37-G35)*(D36-D35)/(D37-D35))</f>
        <v>-0.59250000000000025</v>
      </c>
      <c r="H36" s="2">
        <f>IF(E37="","",H35+(H37-H35)*(D36-D35)/(D37-D35))</f>
        <v>-0.10250000000000004</v>
      </c>
      <c r="I36" s="2">
        <f>IF(F37="","",I35+(I37-I35)*(D36-D35)/(D37-D35))</f>
        <v>-0.15100000000000002</v>
      </c>
      <c r="P36" s="1"/>
      <c r="Q36" s="3">
        <f>IF(P37="","",VLOOKUP(P35,P$9:Y$28,7,FALSE))</f>
        <v>6.65</v>
      </c>
      <c r="S36" s="2">
        <f>IF(P37="","",S35+(S37-S35)*(Q36-Q35)/(Q37-Q35))</f>
        <v>11.324</v>
      </c>
      <c r="T36" s="2">
        <f>IF(Q37="","",T35+(T37-T35)*(Q36-Q35)/(Q37-Q35))</f>
        <v>-0.49850000000000061</v>
      </c>
      <c r="U36" s="2">
        <f>IF(R37="","",U35+(U37-U35)*(Q36-Q35)/(Q37-Q35))</f>
        <v>-8.6500000000000049E-2</v>
      </c>
      <c r="V36" s="2">
        <f>IF(S37="","",V35+(V37-V35)*(Q36-Q35)/(Q37-Q35))</f>
        <v>-0.12700000000000006</v>
      </c>
      <c r="AC36" s="1"/>
      <c r="AD36" s="3">
        <f>IF(AC37="","",VLOOKUP(AC35,AC$9:AL$28,7,FALSE))</f>
        <v>6.65</v>
      </c>
      <c r="AF36" s="2">
        <f>IF(AC37="","",AF35+(AF37-AF35)*(AD36-AD35)/(AD37-AD35))</f>
        <v>9.17</v>
      </c>
      <c r="AG36" s="2">
        <f>IF(AD37="","",AG35+(AG37-AG35)*(AD36-AD35)/(AD37-AD35))</f>
        <v>-0.37800000000000034</v>
      </c>
      <c r="AH36" s="2">
        <f>IF(AE37="","",AH35+(AH37-AH35)*(AD36-AD35)/(AD37-AD35))</f>
        <v>-6.500000000000003E-2</v>
      </c>
      <c r="AI36" s="2">
        <f>IF(AF37="","",AI35+(AI37-AI35)*(AD36-AD35)/(AD37-AD35))</f>
        <v>-9.6000000000000085E-2</v>
      </c>
      <c r="AP36" s="1"/>
      <c r="AQ36" s="3">
        <f>IF(AP37="","",VLOOKUP(AP35,AP$9:AY$28,7,FALSE))</f>
        <v>6.65</v>
      </c>
      <c r="AS36" s="2">
        <f>IF(AP37="","",AS35+(AS37-AS35)*(AQ36-AQ35)/(AQ37-AQ35))</f>
        <v>6.2849999999999993</v>
      </c>
      <c r="AT36" s="2">
        <f>IF(AQ37="","",AT35+(AT37-AT35)*(AQ36-AQ35)/(AQ37-AQ35))</f>
        <v>-0.23450000000000015</v>
      </c>
      <c r="AU36" s="2">
        <f>IF(AR37="","",AU35+(AU37-AU35)*(AQ36-AQ35)/(AQ37-AQ35))</f>
        <v>-4.0000000000000036E-2</v>
      </c>
      <c r="AV36" s="2">
        <f>IF(AS37="","",AV35+(AV37-AV35)*(AQ36-AQ35)/(AQ37-AQ35))</f>
        <v>-5.9500000000000053E-2</v>
      </c>
      <c r="BC36" s="1"/>
      <c r="BD36" s="3">
        <f>IF(BC37="","",VLOOKUP(BC35,BC$9:BL$28,7,FALSE))</f>
        <v>6.65</v>
      </c>
      <c r="BF36" s="2">
        <f>IF(BC37="","",BF35+(BF37-BF35)*(BD36-BD35)/(BD37-BD35))</f>
        <v>2.9580000000000002</v>
      </c>
      <c r="BG36" s="2">
        <f>IF(BD37="","",BG35+(BG37-BG35)*(BD36-BD35)/(BD37-BD35))</f>
        <v>-9.050000000000008E-2</v>
      </c>
      <c r="BH36" s="2">
        <f>IF(BE37="","",BH35+(BH37-BH35)*(BD36-BD35)/(BD37-BD35))</f>
        <v>-1.5000000000000006E-2</v>
      </c>
      <c r="BI36" s="2">
        <f>IF(BF37="","",BI35+(BI37-BI35)*(BD36-BD35)/(BD37-BD35))</f>
        <v>-2.2000000000000006E-2</v>
      </c>
      <c r="BP36" s="1"/>
      <c r="BQ36" s="3">
        <f>IF(BP37="","",VLOOKUP(BP35,BP$9:BY$28,7,FALSE))</f>
        <v>6.65</v>
      </c>
      <c r="BS36" s="2">
        <f>IF(BP37="","",BS35+(BS37-BS35)*(BQ36-BQ35)/(BQ37-BQ35))</f>
        <v>2.9580000000000002</v>
      </c>
      <c r="BT36" s="2">
        <f>IF(BQ37="","",BT35+(BT37-BT35)*(BQ36-BQ35)/(BQ37-BQ35))</f>
        <v>-9.050000000000008E-2</v>
      </c>
      <c r="BU36" s="2">
        <f>IF(BR37="","",BU35+(BU37-BU35)*(BQ36-BQ35)/(BQ37-BQ35))</f>
        <v>-1.5000000000000006E-2</v>
      </c>
      <c r="BV36" s="2">
        <f>IF(BS37="","",BV35+(BV37-BV35)*(BQ36-BQ35)/(BQ37-BQ35))</f>
        <v>-2.2000000000000006E-2</v>
      </c>
    </row>
    <row r="37" spans="1:74">
      <c r="B37" s="1">
        <f>IF(C37="","",B35)</f>
        <v>5</v>
      </c>
      <c r="C37" s="1">
        <f t="shared" ref="C37" si="39">IF(C35&lt;$F$1,C35+1,"")</f>
        <v>3</v>
      </c>
      <c r="D37" s="3">
        <f>IF(C37="","",IF(Dati!$B21="",VLOOKUP(C37,C$9:L$28,6,FALSE),Dati!$B21))</f>
        <v>8.75</v>
      </c>
      <c r="E37" s="1">
        <f>IF(C37="","",(C37-1)*Modi!$B$51+2+($F$1-B37))</f>
        <v>12</v>
      </c>
      <c r="F37" s="2">
        <f>IF(C37="","",INDEX(SPO!$H:$H,E37,1))</f>
        <v>12.629</v>
      </c>
      <c r="G37" s="2">
        <f>IF(C37="","",INDEX(SPO!$I:$I,E37,1))</f>
        <v>-2.7050000000000001</v>
      </c>
      <c r="H37" s="2">
        <f>IF(C37="","",INDEX(SPO!$J:$J,E37,1))</f>
        <v>-0.38500000000000001</v>
      </c>
      <c r="I37" s="2">
        <f>IF(C37="","",INDEX(SPO!$K:$K,E37,1))</f>
        <v>-0.56699999999999995</v>
      </c>
      <c r="O37" s="1">
        <f>IF(P37="","",O35)</f>
        <v>4</v>
      </c>
      <c r="P37" s="1">
        <f t="shared" ref="P37" si="40">IF(P35&lt;$F$1,P35+1,"")</f>
        <v>3</v>
      </c>
      <c r="Q37" s="3">
        <f>IF(P37="","",IF(Dati!$B21="",VLOOKUP(P37,P$9:Y$28,6,FALSE),Dati!$B21))</f>
        <v>8.75</v>
      </c>
      <c r="R37" s="1">
        <f>IF(P37="","",(P37-1)*Modi!$B$51+2+($F$1-O37))</f>
        <v>13</v>
      </c>
      <c r="S37" s="2">
        <f>IF(P37="","",INDEX(SPO!$H:$H,R37,1))</f>
        <v>11.244999999999999</v>
      </c>
      <c r="T37" s="2">
        <f>IF(P37="","",INDEX(SPO!$I:$I,R37,1))</f>
        <v>-2.3650000000000002</v>
      </c>
      <c r="U37" s="2">
        <f>IF(P37="","",INDEX(SPO!$J:$J,R37,1))</f>
        <v>-0.33500000000000002</v>
      </c>
      <c r="V37" s="2">
        <f>IF(P37="","",INDEX(SPO!$K:$K,R37,1))</f>
        <v>-0.49199999999999999</v>
      </c>
      <c r="AB37" s="1">
        <f>IF(AC37="","",AB35)</f>
        <v>3</v>
      </c>
      <c r="AC37" s="1">
        <f t="shared" ref="AC37" si="41">IF(AC35&lt;$F$1,AC35+1,"")</f>
        <v>3</v>
      </c>
      <c r="AD37" s="3">
        <f>IF(AC37="","",IF(Dati!$B21="",VLOOKUP(AC37,AC$9:AL$28,6,FALSE),Dati!$B21))</f>
        <v>8.75</v>
      </c>
      <c r="AE37" s="1">
        <f>IF(AC37="","",(AC37-1)*Modi!$B$51+2+($F$1-AB37))</f>
        <v>14</v>
      </c>
      <c r="AF37" s="2">
        <f>IF(AC37="","",INDEX(SPO!$H:$H,AE37,1))</f>
        <v>9.0960000000000001</v>
      </c>
      <c r="AG37" s="2">
        <f>IF(AC37="","",INDEX(SPO!$I:$I,AE37,1))</f>
        <v>-1.873</v>
      </c>
      <c r="AH37" s="2">
        <f>IF(AC37="","",INDEX(SPO!$J:$J,AE37,1))</f>
        <v>-0.26300000000000001</v>
      </c>
      <c r="AI37" s="2">
        <f>IF(AC37="","",INDEX(SPO!$K:$K,AE37,1))</f>
        <v>-0.38700000000000001</v>
      </c>
      <c r="AO37" s="1">
        <f>IF(AP37="","",AO35)</f>
        <v>2</v>
      </c>
      <c r="AP37" s="1">
        <f t="shared" ref="AP37" si="42">IF(AP35&lt;$F$1,AP35+1,"")</f>
        <v>3</v>
      </c>
      <c r="AQ37" s="3">
        <f>IF(AP37="","",IF(Dati!$B21="",VLOOKUP(AP37,AP$9:AY$28,6,FALSE),Dati!$B21))</f>
        <v>8.75</v>
      </c>
      <c r="AR37" s="1">
        <f>IF(AP37="","",(AP37-1)*Modi!$B$51+2+($F$1-AO37))</f>
        <v>15</v>
      </c>
      <c r="AS37" s="2">
        <f>IF(AP37="","",INDEX(SPO!$H:$H,AR37,1))</f>
        <v>6.2249999999999996</v>
      </c>
      <c r="AT37" s="2">
        <f>IF(AP37="","",INDEX(SPO!$I:$I,AR37,1))</f>
        <v>-1.2410000000000001</v>
      </c>
      <c r="AU37" s="2">
        <f>IF(AP37="","",INDEX(SPO!$J:$J,AR37,1))</f>
        <v>-0.17299999999999999</v>
      </c>
      <c r="AV37" s="2">
        <f>IF(AP37="","",INDEX(SPO!$K:$K,AR37,1))</f>
        <v>-0.255</v>
      </c>
      <c r="BB37" s="1">
        <f>IF(BC37="","",BB35)</f>
        <v>1</v>
      </c>
      <c r="BC37" s="1">
        <f t="shared" ref="BC37" si="43">IF(BC35&lt;$F$1,BC35+1,"")</f>
        <v>3</v>
      </c>
      <c r="BD37" s="3">
        <f>IF(BC37="","",IF(Dati!$B21="",VLOOKUP(BC37,BC$9:BL$28,6,FALSE),Dati!$B21))</f>
        <v>8.75</v>
      </c>
      <c r="BE37" s="1">
        <f>IF(BC37="","",(BC37-1)*Modi!$B$51+2+($F$1-BB37))</f>
        <v>16</v>
      </c>
      <c r="BF37" s="2">
        <f>IF(BC37="","",INDEX(SPO!$H:$H,BE37,1))</f>
        <v>2.9220000000000002</v>
      </c>
      <c r="BG37" s="2">
        <f>IF(BC37="","",INDEX(SPO!$I:$I,BE37,1))</f>
        <v>-0.54700000000000004</v>
      </c>
      <c r="BH37" s="2">
        <f>IF(BC37="","",INDEX(SPO!$J:$J,BE37,1))</f>
        <v>-7.5999999999999998E-2</v>
      </c>
      <c r="BI37" s="2">
        <f>IF(BC37="","",INDEX(SPO!$K:$K,BE37,1))</f>
        <v>-0.111</v>
      </c>
      <c r="BO37" s="1">
        <f>IF(BP37="","",BO35)</f>
        <v>1</v>
      </c>
      <c r="BP37" s="1">
        <f t="shared" ref="BP37" si="44">IF(BP35&lt;$F$1,BP35+1,"")</f>
        <v>3</v>
      </c>
      <c r="BQ37" s="3">
        <f>IF(BP37="","",IF(Dati!$B21="",VLOOKUP(BP37,BP$9:BY$28,6,FALSE),Dati!$B21))</f>
        <v>8.75</v>
      </c>
      <c r="BR37" s="1">
        <f>IF(BP37="","",(BP37-1)*Modi!$B$51+2+($F$1-BO37))</f>
        <v>16</v>
      </c>
      <c r="BS37" s="2">
        <f>IF(BP37="","",INDEX(SPO!$H:$H,BR37,1))</f>
        <v>2.9220000000000002</v>
      </c>
      <c r="BT37" s="2">
        <f>IF(BP37="","",INDEX(SPO!$I:$I,BR37,1))</f>
        <v>-0.54700000000000004</v>
      </c>
      <c r="BU37" s="2">
        <f>IF(BP37="","",INDEX(SPO!$J:$J,BR37,1))</f>
        <v>-7.5999999999999998E-2</v>
      </c>
      <c r="BV37" s="2">
        <f>IF(BP37="","",INDEX(SPO!$K:$K,BR37,1))</f>
        <v>-0.111</v>
      </c>
    </row>
    <row r="38" spans="1:74">
      <c r="C38" s="1"/>
      <c r="D38" s="3">
        <f>IF(C39="","",VLOOKUP(C37,C$9:L$28,7,FALSE))</f>
        <v>9.1198738170346996</v>
      </c>
      <c r="F38" s="2">
        <f>IF(C39="","",F37+(F39-F37)*(D38-D37)/(D39-D37))</f>
        <v>12.616847003154573</v>
      </c>
      <c r="G38" s="2">
        <f>IF(D39="","",G37+(G39-G37)*(D38-D37)/(D39-D37))</f>
        <v>-2.9928675078864346</v>
      </c>
      <c r="H38" s="2">
        <f>IF(E39="","",H37+(H39-H37)*(D38-D37)/(D39-D37))</f>
        <v>-0.43477444794952674</v>
      </c>
      <c r="I38" s="2">
        <f>IF(F39="","",I37+(I39-I37)*(D38-D37)/(D39-D37))</f>
        <v>-0.64012933753943202</v>
      </c>
      <c r="P38" s="1"/>
      <c r="Q38" s="3">
        <f>IF(P39="","",VLOOKUP(P37,P$9:Y$28,7,FALSE))</f>
        <v>9.1198738170346996</v>
      </c>
      <c r="S38" s="2">
        <f>IF(P39="","",S37+(S39-S37)*(Q38-Q37)/(Q39-Q37))</f>
        <v>11.231895899053628</v>
      </c>
      <c r="T38" s="2">
        <f>IF(Q39="","",T37+(T39-T37)*(Q38-Q37)/(Q39-Q37))</f>
        <v>-2.6184164037854885</v>
      </c>
      <c r="U38" s="2">
        <f>IF(R39="","",U37+(U39-U37)*(Q38-Q37)/(Q39-Q37))</f>
        <v>-0.37864511041009458</v>
      </c>
      <c r="V38" s="2">
        <f>IF(S39="","",V37+(V39-V37)*(Q38-Q37)/(Q39-Q37))</f>
        <v>-0.55635804416403767</v>
      </c>
      <c r="AC38" s="1"/>
      <c r="AD38" s="3">
        <f>IF(AC39="","",VLOOKUP(AC37,AC$9:AL$28,7,FALSE))</f>
        <v>9.1198738170346996</v>
      </c>
      <c r="AF38" s="2">
        <f>IF(AC39="","",AF37+(AF39-AF37)*(AD38-AD37)/(AD39-AD37))</f>
        <v>9.0836356466876964</v>
      </c>
      <c r="AG38" s="2">
        <f>IF(AD39="","",AG37+(AG39-AG37)*(AD38-AD37)/(AD39-AD37))</f>
        <v>-2.0751624605678227</v>
      </c>
      <c r="AH38" s="2">
        <f>IF(AE39="","",AH37+(AH39-AH37)*(AD38-AD37)/(AD39-AD37))</f>
        <v>-0.29787381703470023</v>
      </c>
      <c r="AI38" s="2">
        <f>IF(AF39="","",AI37+(AI39-AI37)*(AD38-AD37)/(AD39-AD37))</f>
        <v>-0.43825394321766553</v>
      </c>
      <c r="AP38" s="1"/>
      <c r="AQ38" s="3">
        <f>IF(AP39="","",VLOOKUP(AP37,AP$9:AY$28,7,FALSE))</f>
        <v>9.1198738170346996</v>
      </c>
      <c r="AS38" s="2">
        <f>IF(AP39="","",AS37+(AS39-AS37)*(AQ38-AQ37)/(AQ39-AQ37))</f>
        <v>6.2149605678233435</v>
      </c>
      <c r="AT38" s="2">
        <f>IF(AQ39="","",AT37+(AT39-AT37)*(AQ38-AQ37)/(AQ39-AQ37))</f>
        <v>-1.3758454258675077</v>
      </c>
      <c r="AU38" s="2">
        <f>IF(AR39="","",AU37+(AU39-AU37)*(AQ38-AQ37)/(AQ39-AQ37))</f>
        <v>-0.19646056782334378</v>
      </c>
      <c r="AV38" s="2">
        <f>IF(AS39="","",AV37+(AV39-AV37)*(AQ38-AQ37)/(AQ39-AQ37))</f>
        <v>-0.28945110410094632</v>
      </c>
      <c r="BC38" s="1"/>
      <c r="BD38" s="3">
        <f>IF(BC39="","",VLOOKUP(BC37,BC$9:BL$28,7,FALSE))</f>
        <v>9.1198738170346996</v>
      </c>
      <c r="BF38" s="2">
        <f>IF(BC39="","",BF37+(BF39-BF37)*(BD38-BD37)/(BD39-BD37))</f>
        <v>2.9159763406940065</v>
      </c>
      <c r="BG38" s="2">
        <f>IF(BD39="","",BG37+(BG39-BG37)*(BD38-BD37)/(BD39-BD37))</f>
        <v>-0.60681388012618287</v>
      </c>
      <c r="BH38" s="2">
        <f>IF(BE39="","",BH37+(BH39-BH37)*(BD38-BD37)/(BD39-BD37))</f>
        <v>-8.6567823343848563E-2</v>
      </c>
      <c r="BI38" s="2">
        <f>IF(BF39="","",BI37+(BI39-BI37)*(BD38-BD37)/(BD39-BD37))</f>
        <v>-0.12674605678233436</v>
      </c>
      <c r="BP38" s="1"/>
      <c r="BQ38" s="3">
        <f>IF(BP39="","",VLOOKUP(BP37,BP$9:BY$28,7,FALSE))</f>
        <v>9.1198738170346996</v>
      </c>
      <c r="BS38" s="2">
        <f>IF(BP39="","",BS37+(BS39-BS37)*(BQ38-BQ37)/(BQ39-BQ37))</f>
        <v>2.9159763406940065</v>
      </c>
      <c r="BT38" s="2">
        <f>IF(BQ39="","",BT37+(BT39-BT37)*(BQ38-BQ37)/(BQ39-BQ37))</f>
        <v>-0.60681388012618287</v>
      </c>
      <c r="BU38" s="2">
        <f>IF(BR39="","",BU37+(BU39-BU37)*(BQ38-BQ37)/(BQ39-BQ37))</f>
        <v>-8.6567823343848563E-2</v>
      </c>
      <c r="BV38" s="2">
        <f>IF(BS39="","",BV37+(BV39-BV37)*(BQ38-BQ37)/(BQ39-BQ37))</f>
        <v>-0.12674605678233436</v>
      </c>
    </row>
    <row r="39" spans="1:74">
      <c r="B39" s="1">
        <f>IF(C39="","",B37)</f>
        <v>5</v>
      </c>
      <c r="C39" s="1">
        <f>IF(C37&lt;$F$1,C37+1,"")</f>
        <v>4</v>
      </c>
      <c r="D39" s="3">
        <f>IF(C39="","",IF(Dati!$B22="",VLOOKUP(C39,C$9:L$28,6,FALSE),Dati!$B22))</f>
        <v>12.25</v>
      </c>
      <c r="E39" s="1">
        <f>IF(C39="","",(C39-1)*Modi!$B$51+2+($F$1-B39))</f>
        <v>17</v>
      </c>
      <c r="F39" s="2">
        <f>IF(C39="","",INDEX(SPO!$H:$H,E39,1))</f>
        <v>12.513999999999999</v>
      </c>
      <c r="G39" s="2">
        <f>IF(C39="","",INDEX(SPO!$I:$I,E39,1))</f>
        <v>-5.4290000000000003</v>
      </c>
      <c r="H39" s="2">
        <f>IF(C39="","",INDEX(SPO!$J:$J,E39,1))</f>
        <v>-0.85599999999999998</v>
      </c>
      <c r="I39" s="2">
        <f>IF(C39="","",INDEX(SPO!$K:$K,E39,1))</f>
        <v>-1.2589999999999999</v>
      </c>
      <c r="O39" s="1">
        <f>IF(P39="","",O37)</f>
        <v>4</v>
      </c>
      <c r="P39" s="1">
        <f>IF(P37&lt;$F$1,P37+1,"")</f>
        <v>4</v>
      </c>
      <c r="Q39" s="3">
        <f>IF(P39="","",IF(Dati!$B22="",VLOOKUP(P39,P$9:Y$28,6,FALSE),Dati!$B22))</f>
        <v>12.25</v>
      </c>
      <c r="R39" s="1">
        <f>IF(P39="","",(P39-1)*Modi!$B$51+2+($F$1-O39))</f>
        <v>18</v>
      </c>
      <c r="S39" s="2">
        <f>IF(P39="","",INDEX(SPO!$H:$H,R39,1))</f>
        <v>11.121</v>
      </c>
      <c r="T39" s="2">
        <f>IF(P39="","",INDEX(SPO!$I:$I,R39,1))</f>
        <v>-4.7629999999999999</v>
      </c>
      <c r="U39" s="2">
        <f>IF(P39="","",INDEX(SPO!$J:$J,R39,1))</f>
        <v>-0.748</v>
      </c>
      <c r="V39" s="2">
        <f>IF(P39="","",INDEX(SPO!$K:$K,R39,1))</f>
        <v>-1.101</v>
      </c>
      <c r="AB39" s="1">
        <f>IF(AC39="","",AB37)</f>
        <v>3</v>
      </c>
      <c r="AC39" s="1">
        <f>IF(AC37&lt;$F$1,AC37+1,"")</f>
        <v>4</v>
      </c>
      <c r="AD39" s="3">
        <f>IF(AC39="","",IF(Dati!$B22="",VLOOKUP(AC39,AC$9:AL$28,6,FALSE),Dati!$B22))</f>
        <v>12.25</v>
      </c>
      <c r="AE39" s="1">
        <f>IF(AC39="","",(AC39-1)*Modi!$B$51+2+($F$1-AB39))</f>
        <v>19</v>
      </c>
      <c r="AF39" s="2">
        <f>IF(AC39="","",INDEX(SPO!$H:$H,AE39,1))</f>
        <v>8.9789999999999992</v>
      </c>
      <c r="AG39" s="2">
        <f>IF(AC39="","",INDEX(SPO!$I:$I,AE39,1))</f>
        <v>-3.786</v>
      </c>
      <c r="AH39" s="2">
        <f>IF(AC39="","",INDEX(SPO!$J:$J,AE39,1))</f>
        <v>-0.59299999999999997</v>
      </c>
      <c r="AI39" s="2">
        <f>IF(AC39="","",INDEX(SPO!$K:$K,AE39,1))</f>
        <v>-0.872</v>
      </c>
      <c r="AO39" s="1">
        <f>IF(AP39="","",AO37)</f>
        <v>2</v>
      </c>
      <c r="AP39" s="1">
        <f>IF(AP37&lt;$F$1,AP37+1,"")</f>
        <v>4</v>
      </c>
      <c r="AQ39" s="3">
        <f>IF(AP39="","",IF(Dati!$B22="",VLOOKUP(AP39,AP$9:AY$28,6,FALSE),Dati!$B22))</f>
        <v>12.25</v>
      </c>
      <c r="AR39" s="1">
        <f>IF(AP39="","",(AP39-1)*Modi!$B$51+2+($F$1-AO39))</f>
        <v>20</v>
      </c>
      <c r="AS39" s="2">
        <f>IF(AP39="","",INDEX(SPO!$H:$H,AR39,1))</f>
        <v>6.13</v>
      </c>
      <c r="AT39" s="2">
        <f>IF(AP39="","",INDEX(SPO!$I:$I,AR39,1))</f>
        <v>-2.5169999999999999</v>
      </c>
      <c r="AU39" s="2">
        <f>IF(AP39="","",INDEX(SPO!$J:$J,AR39,1))</f>
        <v>-0.39500000000000002</v>
      </c>
      <c r="AV39" s="2">
        <f>IF(AP39="","",INDEX(SPO!$K:$K,AR39,1))</f>
        <v>-0.58099999999999996</v>
      </c>
      <c r="BB39" s="1">
        <f>IF(BC39="","",BB37)</f>
        <v>1</v>
      </c>
      <c r="BC39" s="1">
        <f>IF(BC37&lt;$F$1,BC37+1,"")</f>
        <v>4</v>
      </c>
      <c r="BD39" s="3">
        <f>IF(BC39="","",IF(Dati!$B22="",VLOOKUP(BC39,BC$9:BL$28,6,FALSE),Dati!$B22))</f>
        <v>12.25</v>
      </c>
      <c r="BE39" s="1">
        <f>IF(BC39="","",(BC39-1)*Modi!$B$51+2+($F$1-BB39))</f>
        <v>21</v>
      </c>
      <c r="BF39" s="2">
        <f>IF(BC39="","",INDEX(SPO!$H:$H,BE39,1))</f>
        <v>2.8650000000000002</v>
      </c>
      <c r="BG39" s="2">
        <f>IF(BC39="","",INDEX(SPO!$I:$I,BE39,1))</f>
        <v>-1.113</v>
      </c>
      <c r="BH39" s="2">
        <f>IF(BC39="","",INDEX(SPO!$J:$J,BE39,1))</f>
        <v>-0.17599999999999999</v>
      </c>
      <c r="BI39" s="2">
        <f>IF(BC39="","",INDEX(SPO!$K:$K,BE39,1))</f>
        <v>-0.26</v>
      </c>
      <c r="BO39" s="1">
        <f>IF(BP39="","",BO37)</f>
        <v>1</v>
      </c>
      <c r="BP39" s="1">
        <f>IF(BP37&lt;$F$1,BP37+1,"")</f>
        <v>4</v>
      </c>
      <c r="BQ39" s="3">
        <f>IF(BP39="","",IF(Dati!$B22="",VLOOKUP(BP39,BP$9:BY$28,6,FALSE),Dati!$B22))</f>
        <v>12.25</v>
      </c>
      <c r="BR39" s="1">
        <f>IF(BP39="","",(BP39-1)*Modi!$B$51+2+($F$1-BO39))</f>
        <v>21</v>
      </c>
      <c r="BS39" s="2">
        <f>IF(BP39="","",INDEX(SPO!$H:$H,BR39,1))</f>
        <v>2.8650000000000002</v>
      </c>
      <c r="BT39" s="2">
        <f>IF(BP39="","",INDEX(SPO!$I:$I,BR39,1))</f>
        <v>-1.113</v>
      </c>
      <c r="BU39" s="2">
        <f>IF(BP39="","",INDEX(SPO!$J:$J,BR39,1))</f>
        <v>-0.17599999999999999</v>
      </c>
      <c r="BV39" s="2">
        <f>IF(BP39="","",INDEX(SPO!$K:$K,BR39,1))</f>
        <v>-0.26</v>
      </c>
    </row>
    <row r="40" spans="1:74">
      <c r="C40" s="1"/>
      <c r="D40" s="3">
        <f>IF(C41="","",VLOOKUP(C39,C$9:L$28,7,FALSE))</f>
        <v>14.05</v>
      </c>
      <c r="F40" s="2">
        <f>IF(C41="","",F39+(F41-F39)*(D40-D39)/(D41-D39))</f>
        <v>12.459</v>
      </c>
      <c r="G40" s="2">
        <f>IF(D41="","",G39+(G41-G39)*(D40-D39)/(D41-D39))</f>
        <v>-6.8770000000000007</v>
      </c>
      <c r="H40" s="2">
        <f>IF(E41="","",H39+(H41-H39)*(D40-D39)/(D41-D39))</f>
        <v>-1.0980000000000001</v>
      </c>
      <c r="I40" s="2">
        <f>IF(F41="","",I39+(I41-I39)*(D40-D39)/(D41-D39))</f>
        <v>-1.6155000000000002</v>
      </c>
      <c r="P40" s="1"/>
      <c r="Q40" s="3">
        <f>IF(P41="","",VLOOKUP(P39,P$9:Y$28,7,FALSE))</f>
        <v>14.05</v>
      </c>
      <c r="S40" s="2">
        <f>IF(P41="","",S39+(S41-S39)*(Q40-Q39)/(Q41-Q39))</f>
        <v>11.061999999999999</v>
      </c>
      <c r="T40" s="2">
        <f>IF(Q41="","",T39+(T41-T39)*(Q40-Q39)/(Q41-Q39))</f>
        <v>-6.0400000000000009</v>
      </c>
      <c r="U40" s="2">
        <f>IF(R41="","",U39+(U41-U39)*(Q40-Q39)/(Q41-Q39))</f>
        <v>-0.96100000000000008</v>
      </c>
      <c r="V40" s="2">
        <f>IF(S41="","",V39+(V41-V39)*(Q40-Q39)/(Q41-Q39))</f>
        <v>-1.4140000000000001</v>
      </c>
      <c r="AC40" s="1"/>
      <c r="AD40" s="3">
        <f>IF(AC41="","",VLOOKUP(AC39,AC$9:AL$28,7,FALSE))</f>
        <v>14.05</v>
      </c>
      <c r="AF40" s="2">
        <f>IF(AC41="","",AF39+(AF41-AF39)*(AD40-AD39)/(AD41-AD39))</f>
        <v>8.9219999999999988</v>
      </c>
      <c r="AG40" s="2">
        <f>IF(AD41="","",AG39+(AG41-AG39)*(AD40-AD39)/(AD41-AD39))</f>
        <v>-4.806</v>
      </c>
      <c r="AH40" s="2">
        <f>IF(AE41="","",AH39+(AH41-AH39)*(AD40-AD39)/(AD41-AD39))</f>
        <v>-0.76250000000000007</v>
      </c>
      <c r="AI40" s="2">
        <f>IF(AF41="","",AI39+(AI41-AI39)*(AD40-AD39)/(AD41-AD39))</f>
        <v>-1.1215000000000002</v>
      </c>
      <c r="AP40" s="1"/>
      <c r="AQ40" s="3">
        <f>IF(AP41="","",VLOOKUP(AP39,AP$9:AY$28,7,FALSE))</f>
        <v>14.05</v>
      </c>
      <c r="AS40" s="2">
        <f>IF(AP41="","",AS39+(AS41-AS39)*(AQ40-AQ39)/(AQ41-AQ39))</f>
        <v>6.0829999999999993</v>
      </c>
      <c r="AT40" s="2">
        <f>IF(AQ41="","",AT39+(AT41-AT39)*(AQ40-AQ39)/(AQ41-AQ39))</f>
        <v>-3.1990000000000003</v>
      </c>
      <c r="AU40" s="2">
        <f>IF(AR41="","",AU39+(AU41-AU39)*(AQ40-AQ39)/(AQ41-AQ39))</f>
        <v>-0.50850000000000006</v>
      </c>
      <c r="AV40" s="2">
        <f>IF(AS41="","",AV39+(AV41-AV39)*(AQ40-AQ39)/(AQ41-AQ39))</f>
        <v>-0.74850000000000005</v>
      </c>
      <c r="BC40" s="1"/>
      <c r="BD40" s="3">
        <f>IF(BC41="","",VLOOKUP(BC39,BC$9:BL$28,7,FALSE))</f>
        <v>14.05</v>
      </c>
      <c r="BF40" s="2">
        <f>IF(BC41="","",BF39+(BF41-BF39)*(BD40-BD39)/(BD41-BD39))</f>
        <v>2.8359999999999999</v>
      </c>
      <c r="BG40" s="2">
        <f>IF(BD41="","",BG39+(BG41-BG39)*(BD40-BD39)/(BD41-BD39))</f>
        <v>-1.4180000000000001</v>
      </c>
      <c r="BH40" s="2">
        <f>IF(BE41="","",BH39+(BH41-BH39)*(BD40-BD39)/(BD41-BD39))</f>
        <v>-0.22800000000000004</v>
      </c>
      <c r="BI40" s="2">
        <f>IF(BF41="","",BI39+(BI41-BI39)*(BD40-BD39)/(BD41-BD39))</f>
        <v>-0.33600000000000002</v>
      </c>
      <c r="BP40" s="1"/>
      <c r="BQ40" s="3">
        <f>IF(BP41="","",VLOOKUP(BP39,BP$9:BY$28,7,FALSE))</f>
        <v>14.05</v>
      </c>
      <c r="BS40" s="2">
        <f>IF(BP41="","",BS39+(BS41-BS39)*(BQ40-BQ39)/(BQ41-BQ39))</f>
        <v>2.8359999999999999</v>
      </c>
      <c r="BT40" s="2">
        <f>IF(BQ41="","",BT39+(BT41-BT39)*(BQ40-BQ39)/(BQ41-BQ39))</f>
        <v>-1.4180000000000001</v>
      </c>
      <c r="BU40" s="2">
        <f>IF(BR41="","",BU39+(BU41-BU39)*(BQ40-BQ39)/(BQ41-BQ39))</f>
        <v>-0.22800000000000004</v>
      </c>
      <c r="BV40" s="2">
        <f>IF(BS41="","",BV39+(BV41-BV39)*(BQ40-BQ39)/(BQ41-BQ39))</f>
        <v>-0.33600000000000002</v>
      </c>
    </row>
    <row r="41" spans="1:74">
      <c r="B41" s="1">
        <f>IF(C41="","",B39)</f>
        <v>5</v>
      </c>
      <c r="C41" s="1">
        <f>IF(C39&lt;$F$1,C39+1,"")</f>
        <v>5</v>
      </c>
      <c r="D41" s="3">
        <f>IF(C41="","",IF(Dati!$B23="",VLOOKUP(C41,C$9:L$28,6,FALSE),Dati!$B23))</f>
        <v>15.85</v>
      </c>
      <c r="E41" s="1">
        <f>IF(C41="","",(C41-1)*Modi!$B$51+2+($F$1-B41))</f>
        <v>22</v>
      </c>
      <c r="F41" s="2">
        <f>IF(C41="","",INDEX(SPO!$H:$H,E41,1))</f>
        <v>12.404</v>
      </c>
      <c r="G41" s="2">
        <f>IF(C41="","",INDEX(SPO!$I:$I,E41,1))</f>
        <v>-8.3249999999999993</v>
      </c>
      <c r="H41" s="2">
        <f>IF(C41="","",INDEX(SPO!$J:$J,E41,1))</f>
        <v>-1.34</v>
      </c>
      <c r="I41" s="2">
        <f>IF(C41="","",INDEX(SPO!$K:$K,E41,1))</f>
        <v>-1.972</v>
      </c>
      <c r="O41" s="1">
        <f>IF(P41="","",O39)</f>
        <v>4</v>
      </c>
      <c r="P41" s="1">
        <f>IF(P39&lt;$F$1,P39+1,"")</f>
        <v>5</v>
      </c>
      <c r="Q41" s="3">
        <f>IF(P41="","",IF(Dati!$B23="",VLOOKUP(P41,P$9:Y$28,6,FALSE),Dati!$B23))</f>
        <v>15.85</v>
      </c>
      <c r="R41" s="1">
        <f>IF(P41="","",(P41-1)*Modi!$B$51+2+($F$1-O41))</f>
        <v>23</v>
      </c>
      <c r="S41" s="2">
        <f>IF(P41="","",INDEX(SPO!$H:$H,R41,1))</f>
        <v>11.003</v>
      </c>
      <c r="T41" s="2">
        <f>IF(P41="","",INDEX(SPO!$I:$I,R41,1))</f>
        <v>-7.3170000000000002</v>
      </c>
      <c r="U41" s="2">
        <f>IF(P41="","",INDEX(SPO!$J:$J,R41,1))</f>
        <v>-1.1739999999999999</v>
      </c>
      <c r="V41" s="2">
        <f>IF(P41="","",INDEX(SPO!$K:$K,R41,1))</f>
        <v>-1.7270000000000001</v>
      </c>
      <c r="AB41" s="1">
        <f>IF(AC41="","",AB39)</f>
        <v>3</v>
      </c>
      <c r="AC41" s="1">
        <f>IF(AC39&lt;$F$1,AC39+1,"")</f>
        <v>5</v>
      </c>
      <c r="AD41" s="3">
        <f>IF(AC41="","",IF(Dati!$B23="",VLOOKUP(AC41,AC$9:AL$28,6,FALSE),Dati!$B23))</f>
        <v>15.85</v>
      </c>
      <c r="AE41" s="1">
        <f>IF(AC41="","",(AC41-1)*Modi!$B$51+2+($F$1-AB41))</f>
        <v>24</v>
      </c>
      <c r="AF41" s="2">
        <f>IF(AC41="","",INDEX(SPO!$H:$H,AE41,1))</f>
        <v>8.8650000000000002</v>
      </c>
      <c r="AG41" s="2">
        <f>IF(AC41="","",INDEX(SPO!$I:$I,AE41,1))</f>
        <v>-5.8259999999999996</v>
      </c>
      <c r="AH41" s="2">
        <f>IF(AC41="","",INDEX(SPO!$J:$J,AE41,1))</f>
        <v>-0.93200000000000005</v>
      </c>
      <c r="AI41" s="2">
        <f>IF(AC41="","",INDEX(SPO!$K:$K,AE41,1))</f>
        <v>-1.371</v>
      </c>
      <c r="AO41" s="1">
        <f>IF(AP41="","",AO39)</f>
        <v>2</v>
      </c>
      <c r="AP41" s="1">
        <f>IF(AP39&lt;$F$1,AP39+1,"")</f>
        <v>5</v>
      </c>
      <c r="AQ41" s="3">
        <f>IF(AP41="","",IF(Dati!$B23="",VLOOKUP(AP41,AP$9:AY$28,6,FALSE),Dati!$B23))</f>
        <v>15.85</v>
      </c>
      <c r="AR41" s="1">
        <f>IF(AP41="","",(AP41-1)*Modi!$B$51+2+($F$1-AO41))</f>
        <v>25</v>
      </c>
      <c r="AS41" s="2">
        <f>IF(AP41="","",INDEX(SPO!$H:$H,AR41,1))</f>
        <v>6.0359999999999996</v>
      </c>
      <c r="AT41" s="2">
        <f>IF(AP41="","",INDEX(SPO!$I:$I,AR41,1))</f>
        <v>-3.8809999999999998</v>
      </c>
      <c r="AU41" s="2">
        <f>IF(AP41="","",INDEX(SPO!$J:$J,AR41,1))</f>
        <v>-0.622</v>
      </c>
      <c r="AV41" s="2">
        <f>IF(AP41="","",INDEX(SPO!$K:$K,AR41,1))</f>
        <v>-0.91600000000000004</v>
      </c>
      <c r="BB41" s="1">
        <f>IF(BC41="","",BB39)</f>
        <v>1</v>
      </c>
      <c r="BC41" s="1">
        <f>IF(BC39&lt;$F$1,BC39+1,"")</f>
        <v>5</v>
      </c>
      <c r="BD41" s="3">
        <f>IF(BC41="","",IF(Dati!$B23="",VLOOKUP(BC41,BC$9:BL$28,6,FALSE),Dati!$B23))</f>
        <v>15.85</v>
      </c>
      <c r="BE41" s="1">
        <f>IF(BC41="","",(BC41-1)*Modi!$B$51+2+($F$1-BB41))</f>
        <v>26</v>
      </c>
      <c r="BF41" s="2">
        <f>IF(BC41="","",INDEX(SPO!$H:$H,BE41,1))</f>
        <v>2.8069999999999999</v>
      </c>
      <c r="BG41" s="2">
        <f>IF(BC41="","",INDEX(SPO!$I:$I,BE41,1))</f>
        <v>-1.7230000000000001</v>
      </c>
      <c r="BH41" s="2">
        <f>IF(BC41="","",INDEX(SPO!$J:$J,BE41,1))</f>
        <v>-0.28000000000000003</v>
      </c>
      <c r="BI41" s="2">
        <f>IF(BC41="","",INDEX(SPO!$K:$K,BE41,1))</f>
        <v>-0.41199999999999998</v>
      </c>
      <c r="BO41" s="1">
        <f>IF(BP41="","",BO39)</f>
        <v>1</v>
      </c>
      <c r="BP41" s="1">
        <f>IF(BP39&lt;$F$1,BP39+1,"")</f>
        <v>5</v>
      </c>
      <c r="BQ41" s="3">
        <f>IF(BP41="","",IF(Dati!$B23="",VLOOKUP(BP41,BP$9:BY$28,6,FALSE),Dati!$B23))</f>
        <v>15.85</v>
      </c>
      <c r="BR41" s="1">
        <f>IF(BP41="","",(BP41-1)*Modi!$B$51+2+($F$1-BO41))</f>
        <v>26</v>
      </c>
      <c r="BS41" s="2">
        <f>IF(BP41="","",INDEX(SPO!$H:$H,BR41,1))</f>
        <v>2.8069999999999999</v>
      </c>
      <c r="BT41" s="2">
        <f>IF(BP41="","",INDEX(SPO!$I:$I,BR41,1))</f>
        <v>-1.7230000000000001</v>
      </c>
      <c r="BU41" s="2">
        <f>IF(BP41="","",INDEX(SPO!$J:$J,BR41,1))</f>
        <v>-0.28000000000000003</v>
      </c>
      <c r="BV41" s="2">
        <f>IF(BP41="","",INDEX(SPO!$K:$K,BR41,1))</f>
        <v>-0.41199999999999998</v>
      </c>
    </row>
    <row r="42" spans="1:74">
      <c r="C42" s="1"/>
      <c r="D42" s="3" t="str">
        <f>IF(C43="","",VLOOKUP(C41,C$9:L$28,7,FALSE))</f>
        <v/>
      </c>
      <c r="F42" s="2" t="str">
        <f>IF(C43="","",F41+(F43-F41)*(D42-D41)/(D43-D41))</f>
        <v/>
      </c>
      <c r="G42" s="2" t="str">
        <f>IF(D43="","",G41+(G43-G41)*(D42-D41)/(D43-D41))</f>
        <v/>
      </c>
      <c r="H42" s="2" t="str">
        <f>IF(E43="","",H41+(H43-H41)*(D42-D41)/(D43-D41))</f>
        <v/>
      </c>
      <c r="I42" s="2" t="str">
        <f>IF(F43="","",I41+(I43-I41)*(D42-D41)/(D43-D41))</f>
        <v/>
      </c>
      <c r="P42" s="1"/>
      <c r="Q42" s="3" t="str">
        <f>IF(P43="","",VLOOKUP(P41,P$9:Y$28,7,FALSE))</f>
        <v/>
      </c>
      <c r="S42" s="2" t="str">
        <f>IF(P43="","",S41+(S43-S41)*(Q42-Q41)/(Q43-Q41))</f>
        <v/>
      </c>
      <c r="T42" s="2" t="str">
        <f>IF(Q43="","",T41+(T43-T41)*(Q42-Q41)/(Q43-Q41))</f>
        <v/>
      </c>
      <c r="U42" s="2" t="str">
        <f>IF(R43="","",U41+(U43-U41)*(Q42-Q41)/(Q43-Q41))</f>
        <v/>
      </c>
      <c r="V42" s="2" t="str">
        <f>IF(S43="","",V41+(V43-V41)*(Q42-Q41)/(Q43-Q41))</f>
        <v/>
      </c>
      <c r="AC42" s="1"/>
      <c r="AD42" s="3" t="str">
        <f>IF(AC43="","",VLOOKUP(AC41,AC$9:AL$28,7,FALSE))</f>
        <v/>
      </c>
      <c r="AF42" s="2" t="str">
        <f>IF(AC43="","",AF41+(AF43-AF41)*(AD42-AD41)/(AD43-AD41))</f>
        <v/>
      </c>
      <c r="AG42" s="2" t="str">
        <f>IF(AD43="","",AG41+(AG43-AG41)*(AD42-AD41)/(AD43-AD41))</f>
        <v/>
      </c>
      <c r="AH42" s="2" t="str">
        <f>IF(AE43="","",AH41+(AH43-AH41)*(AD42-AD41)/(AD43-AD41))</f>
        <v/>
      </c>
      <c r="AI42" s="2" t="str">
        <f>IF(AF43="","",AI41+(AI43-AI41)*(AD42-AD41)/(AD43-AD41))</f>
        <v/>
      </c>
      <c r="AP42" s="1"/>
      <c r="AQ42" s="3" t="str">
        <f>IF(AP43="","",VLOOKUP(AP41,AP$9:AY$28,7,FALSE))</f>
        <v/>
      </c>
      <c r="AS42" s="2" t="str">
        <f>IF(AP43="","",AS41+(AS43-AS41)*(AQ42-AQ41)/(AQ43-AQ41))</f>
        <v/>
      </c>
      <c r="AT42" s="2" t="str">
        <f>IF(AQ43="","",AT41+(AT43-AT41)*(AQ42-AQ41)/(AQ43-AQ41))</f>
        <v/>
      </c>
      <c r="AU42" s="2" t="str">
        <f>IF(AR43="","",AU41+(AU43-AU41)*(AQ42-AQ41)/(AQ43-AQ41))</f>
        <v/>
      </c>
      <c r="AV42" s="2" t="str">
        <f>IF(AS43="","",AV41+(AV43-AV41)*(AQ42-AQ41)/(AQ43-AQ41))</f>
        <v/>
      </c>
      <c r="BC42" s="1"/>
      <c r="BD42" s="3" t="str">
        <f>IF(BC43="","",VLOOKUP(BC41,BC$9:BL$28,7,FALSE))</f>
        <v/>
      </c>
      <c r="BF42" s="2" t="str">
        <f>IF(BC43="","",BF41+(BF43-BF41)*(BD42-BD41)/(BD43-BD41))</f>
        <v/>
      </c>
      <c r="BG42" s="2" t="str">
        <f>IF(BD43="","",BG41+(BG43-BG41)*(BD42-BD41)/(BD43-BD41))</f>
        <v/>
      </c>
      <c r="BH42" s="2" t="str">
        <f>IF(BE43="","",BH41+(BH43-BH41)*(BD42-BD41)/(BD43-BD41))</f>
        <v/>
      </c>
      <c r="BI42" s="2" t="str">
        <f>IF(BF43="","",BI41+(BI43-BI41)*(BD42-BD41)/(BD43-BD41))</f>
        <v/>
      </c>
      <c r="BP42" s="1"/>
      <c r="BQ42" s="3" t="str">
        <f>IF(BP43="","",VLOOKUP(BP41,BP$9:BY$28,7,FALSE))</f>
        <v/>
      </c>
      <c r="BS42" s="2" t="str">
        <f>IF(BP43="","",BS41+(BS43-BS41)*(BQ42-BQ41)/(BQ43-BQ41))</f>
        <v/>
      </c>
      <c r="BT42" s="2" t="str">
        <f>IF(BQ43="","",BT41+(BT43-BT41)*(BQ42-BQ41)/(BQ43-BQ41))</f>
        <v/>
      </c>
      <c r="BU42" s="2" t="str">
        <f>IF(BR43="","",BU41+(BU43-BU41)*(BQ42-BQ41)/(BQ43-BQ41))</f>
        <v/>
      </c>
      <c r="BV42" s="2" t="str">
        <f>IF(BS43="","",BV41+(BV43-BV41)*(BQ42-BQ41)/(BQ43-BQ41))</f>
        <v/>
      </c>
    </row>
    <row r="43" spans="1:74">
      <c r="B43" s="1" t="str">
        <f>IF(C43="","",B41)</f>
        <v/>
      </c>
      <c r="C43" s="1" t="str">
        <f>IF(C41&lt;$F$1,C41+1,"")</f>
        <v/>
      </c>
      <c r="D43" s="3" t="str">
        <f>IF(C43="","",IF(Dati!$B24="",VLOOKUP(C43,C$9:L$28,6,FALSE),Dati!$B24))</f>
        <v/>
      </c>
      <c r="E43" s="1" t="str">
        <f>IF(C43="","",(C43-1)*Modi!$B$51+2+($F$1-B43))</f>
        <v/>
      </c>
      <c r="F43" s="2" t="str">
        <f>IF(C43="","",INDEX(SPO!$H:$H,E43,1))</f>
        <v/>
      </c>
      <c r="G43" s="2" t="str">
        <f>IF(C43="","",INDEX(SPO!$I:$I,E43,1))</f>
        <v/>
      </c>
      <c r="H43" s="2" t="str">
        <f>IF(C43="","",INDEX(SPO!$J:$J,E43,1))</f>
        <v/>
      </c>
      <c r="I43" s="2" t="str">
        <f>IF(C43="","",INDEX(SPO!$K:$K,E43,1))</f>
        <v/>
      </c>
      <c r="O43" s="1" t="str">
        <f>IF(P43="","",O41)</f>
        <v/>
      </c>
      <c r="P43" s="1" t="str">
        <f>IF(P41&lt;$F$1,P41+1,"")</f>
        <v/>
      </c>
      <c r="Q43" s="3" t="str">
        <f>IF(P43="","",IF(Dati!$B24="",VLOOKUP(P43,P$9:Y$28,6,FALSE),Dati!$B24))</f>
        <v/>
      </c>
      <c r="R43" s="1" t="str">
        <f>IF(P43="","",(P43-1)*Modi!$B$51+2+($F$1-O43))</f>
        <v/>
      </c>
      <c r="S43" s="2" t="str">
        <f>IF(P43="","",INDEX(SPO!$H:$H,R43,1))</f>
        <v/>
      </c>
      <c r="T43" s="2" t="str">
        <f>IF(P43="","",INDEX(SPO!$I:$I,R43,1))</f>
        <v/>
      </c>
      <c r="U43" s="2" t="str">
        <f>IF(P43="","",INDEX(SPO!$J:$J,R43,1))</f>
        <v/>
      </c>
      <c r="V43" s="2" t="str">
        <f>IF(P43="","",INDEX(SPO!$K:$K,R43,1))</f>
        <v/>
      </c>
      <c r="AB43" s="1" t="str">
        <f>IF(AC43="","",AB41)</f>
        <v/>
      </c>
      <c r="AC43" s="1" t="str">
        <f>IF(AC41&lt;$F$1,AC41+1,"")</f>
        <v/>
      </c>
      <c r="AD43" s="3" t="str">
        <f>IF(AC43="","",IF(Dati!$B24="",VLOOKUP(AC43,AC$9:AL$28,6,FALSE),Dati!$B24))</f>
        <v/>
      </c>
      <c r="AE43" s="1" t="str">
        <f>IF(AC43="","",(AC43-1)*Modi!$B$51+2+($F$1-AB43))</f>
        <v/>
      </c>
      <c r="AF43" s="2" t="str">
        <f>IF(AC43="","",INDEX(SPO!$H:$H,AE43,1))</f>
        <v/>
      </c>
      <c r="AG43" s="2" t="str">
        <f>IF(AC43="","",INDEX(SPO!$I:$I,AE43,1))</f>
        <v/>
      </c>
      <c r="AH43" s="2" t="str">
        <f>IF(AC43="","",INDEX(SPO!$J:$J,AE43,1))</f>
        <v/>
      </c>
      <c r="AI43" s="2" t="str">
        <f>IF(AC43="","",INDEX(SPO!$K:$K,AE43,1))</f>
        <v/>
      </c>
      <c r="AO43" s="1" t="str">
        <f>IF(AP43="","",AO41)</f>
        <v/>
      </c>
      <c r="AP43" s="1" t="str">
        <f>IF(AP41&lt;$F$1,AP41+1,"")</f>
        <v/>
      </c>
      <c r="AQ43" s="3" t="str">
        <f>IF(AP43="","",IF(Dati!$B24="",VLOOKUP(AP43,AP$9:AY$28,6,FALSE),Dati!$B24))</f>
        <v/>
      </c>
      <c r="AR43" s="1" t="str">
        <f>IF(AP43="","",(AP43-1)*Modi!$B$51+2+($F$1-AO43))</f>
        <v/>
      </c>
      <c r="AS43" s="2" t="str">
        <f>IF(AP43="","",INDEX(SPO!$H:$H,AR43,1))</f>
        <v/>
      </c>
      <c r="AT43" s="2" t="str">
        <f>IF(AP43="","",INDEX(SPO!$I:$I,AR43,1))</f>
        <v/>
      </c>
      <c r="AU43" s="2" t="str">
        <f>IF(AP43="","",INDEX(SPO!$J:$J,AR43,1))</f>
        <v/>
      </c>
      <c r="AV43" s="2" t="str">
        <f>IF(AP43="","",INDEX(SPO!$K:$K,AR43,1))</f>
        <v/>
      </c>
      <c r="BB43" s="1" t="str">
        <f>IF(BC43="","",BB41)</f>
        <v/>
      </c>
      <c r="BC43" s="1" t="str">
        <f>IF(BC41&lt;$F$1,BC41+1,"")</f>
        <v/>
      </c>
      <c r="BD43" s="3" t="str">
        <f>IF(BC43="","",IF(Dati!$B24="",VLOOKUP(BC43,BC$9:BL$28,6,FALSE),Dati!$B24))</f>
        <v/>
      </c>
      <c r="BE43" s="1" t="str">
        <f>IF(BC43="","",(BC43-1)*Modi!$B$51+2+($F$1-BB43))</f>
        <v/>
      </c>
      <c r="BF43" s="2" t="str">
        <f>IF(BC43="","",INDEX(SPO!$H:$H,BE43,1))</f>
        <v/>
      </c>
      <c r="BG43" s="2" t="str">
        <f>IF(BC43="","",INDEX(SPO!$I:$I,BE43,1))</f>
        <v/>
      </c>
      <c r="BH43" s="2" t="str">
        <f>IF(BC43="","",INDEX(SPO!$J:$J,BE43,1))</f>
        <v/>
      </c>
      <c r="BI43" s="2" t="str">
        <f>IF(BC43="","",INDEX(SPO!$K:$K,BE43,1))</f>
        <v/>
      </c>
      <c r="BO43" s="1" t="str">
        <f>IF(BP43="","",BO41)</f>
        <v/>
      </c>
      <c r="BP43" s="1" t="str">
        <f>IF(BP41&lt;$F$1,BP41+1,"")</f>
        <v/>
      </c>
      <c r="BQ43" s="3" t="str">
        <f>IF(BP43="","",IF(Dati!$B24="",VLOOKUP(BP43,BP$9:BY$28,6,FALSE),Dati!$B24))</f>
        <v/>
      </c>
      <c r="BR43" s="1" t="str">
        <f>IF(BP43="","",(BP43-1)*Modi!$B$51+2+($F$1-BO43))</f>
        <v/>
      </c>
      <c r="BS43" s="2" t="str">
        <f>IF(BP43="","",INDEX(SPO!$H:$H,BR43,1))</f>
        <v/>
      </c>
      <c r="BT43" s="2" t="str">
        <f>IF(BP43="","",INDEX(SPO!$I:$I,BR43,1))</f>
        <v/>
      </c>
      <c r="BU43" s="2" t="str">
        <f>IF(BP43="","",INDEX(SPO!$J:$J,BR43,1))</f>
        <v/>
      </c>
      <c r="BV43" s="2" t="str">
        <f>IF(BP43="","",INDEX(SPO!$K:$K,BR43,1))</f>
        <v/>
      </c>
    </row>
    <row r="44" spans="1:74">
      <c r="C44" s="1"/>
      <c r="D44" s="3" t="str">
        <f>IF(C45="","",VLOOKUP(C43,C$9:L$28,7,FALSE))</f>
        <v/>
      </c>
      <c r="F44" s="2" t="str">
        <f>IF(C45="","",F43+(F45-F43)*(D44-D43)/(D45-D43))</f>
        <v/>
      </c>
      <c r="G44" s="2" t="str">
        <f>IF(D45="","",G43+(G45-G43)*(D44-D43)/(D45-D43))</f>
        <v/>
      </c>
      <c r="H44" s="2" t="str">
        <f>IF(E45="","",H43+(H45-H43)*(D44-D43)/(D45-D43))</f>
        <v/>
      </c>
      <c r="I44" s="2" t="str">
        <f>IF(F45="","",I43+(I45-I43)*(D44-D43)/(D45-D43))</f>
        <v/>
      </c>
      <c r="P44" s="1"/>
      <c r="Q44" s="3" t="str">
        <f>IF(P45="","",VLOOKUP(P43,P$9:Y$28,7,FALSE))</f>
        <v/>
      </c>
      <c r="S44" s="2" t="str">
        <f>IF(P45="","",S43+(S45-S43)*(Q44-Q43)/(Q45-Q43))</f>
        <v/>
      </c>
      <c r="T44" s="2" t="str">
        <f>IF(Q45="","",T43+(T45-T43)*(Q44-Q43)/(Q45-Q43))</f>
        <v/>
      </c>
      <c r="U44" s="2" t="str">
        <f>IF(R45="","",U43+(U45-U43)*(Q44-Q43)/(Q45-Q43))</f>
        <v/>
      </c>
      <c r="V44" s="2" t="str">
        <f>IF(S45="","",V43+(V45-V43)*(Q44-Q43)/(Q45-Q43))</f>
        <v/>
      </c>
      <c r="AC44" s="1"/>
      <c r="AD44" s="3" t="str">
        <f>IF(AC45="","",VLOOKUP(AC43,AC$9:AL$28,7,FALSE))</f>
        <v/>
      </c>
      <c r="AF44" s="2" t="str">
        <f>IF(AC45="","",AF43+(AF45-AF43)*(AD44-AD43)/(AD45-AD43))</f>
        <v/>
      </c>
      <c r="AG44" s="2" t="str">
        <f>IF(AD45="","",AG43+(AG45-AG43)*(AD44-AD43)/(AD45-AD43))</f>
        <v/>
      </c>
      <c r="AH44" s="2" t="str">
        <f>IF(AE45="","",AH43+(AH45-AH43)*(AD44-AD43)/(AD45-AD43))</f>
        <v/>
      </c>
      <c r="AI44" s="2" t="str">
        <f>IF(AF45="","",AI43+(AI45-AI43)*(AD44-AD43)/(AD45-AD43))</f>
        <v/>
      </c>
      <c r="AP44" s="1"/>
      <c r="AQ44" s="3" t="str">
        <f>IF(AP45="","",VLOOKUP(AP43,AP$9:AY$28,7,FALSE))</f>
        <v/>
      </c>
      <c r="AS44" s="2" t="str">
        <f>IF(AP45="","",AS43+(AS45-AS43)*(AQ44-AQ43)/(AQ45-AQ43))</f>
        <v/>
      </c>
      <c r="AT44" s="2" t="str">
        <f>IF(AQ45="","",AT43+(AT45-AT43)*(AQ44-AQ43)/(AQ45-AQ43))</f>
        <v/>
      </c>
      <c r="AU44" s="2" t="str">
        <f>IF(AR45="","",AU43+(AU45-AU43)*(AQ44-AQ43)/(AQ45-AQ43))</f>
        <v/>
      </c>
      <c r="AV44" s="2" t="str">
        <f>IF(AS45="","",AV43+(AV45-AV43)*(AQ44-AQ43)/(AQ45-AQ43))</f>
        <v/>
      </c>
      <c r="BC44" s="1"/>
      <c r="BD44" s="3" t="str">
        <f>IF(BC45="","",VLOOKUP(BC43,BC$9:BL$28,7,FALSE))</f>
        <v/>
      </c>
      <c r="BF44" s="2" t="str">
        <f>IF(BC45="","",BF43+(BF45-BF43)*(BD44-BD43)/(BD45-BD43))</f>
        <v/>
      </c>
      <c r="BG44" s="2" t="str">
        <f>IF(BD45="","",BG43+(BG45-BG43)*(BD44-BD43)/(BD45-BD43))</f>
        <v/>
      </c>
      <c r="BH44" s="2" t="str">
        <f>IF(BE45="","",BH43+(BH45-BH43)*(BD44-BD43)/(BD45-BD43))</f>
        <v/>
      </c>
      <c r="BI44" s="2" t="str">
        <f>IF(BF45="","",BI43+(BI45-BI43)*(BD44-BD43)/(BD45-BD43))</f>
        <v/>
      </c>
      <c r="BP44" s="1"/>
      <c r="BQ44" s="3" t="str">
        <f>IF(BP45="","",VLOOKUP(BP43,BP$9:BY$28,7,FALSE))</f>
        <v/>
      </c>
      <c r="BS44" s="2" t="str">
        <f>IF(BP45="","",BS43+(BS45-BS43)*(BQ44-BQ43)/(BQ45-BQ43))</f>
        <v/>
      </c>
      <c r="BT44" s="2" t="str">
        <f>IF(BQ45="","",BT43+(BT45-BT43)*(BQ44-BQ43)/(BQ45-BQ43))</f>
        <v/>
      </c>
      <c r="BU44" s="2" t="str">
        <f>IF(BR45="","",BU43+(BU45-BU43)*(BQ44-BQ43)/(BQ45-BQ43))</f>
        <v/>
      </c>
      <c r="BV44" s="2" t="str">
        <f>IF(BS45="","",BV43+(BV45-BV43)*(BQ44-BQ43)/(BQ45-BQ43))</f>
        <v/>
      </c>
    </row>
    <row r="45" spans="1:74">
      <c r="B45" s="1" t="str">
        <f>IF(C45="","",B43)</f>
        <v/>
      </c>
      <c r="C45" s="1" t="str">
        <f>IF(C43&lt;$F$1,C43+1,"")</f>
        <v/>
      </c>
      <c r="D45" s="3" t="str">
        <f>IF(C45="","",IF(Dati!$B25="",VLOOKUP(C45,C$9:L$28,6,FALSE),Dati!$B25))</f>
        <v/>
      </c>
      <c r="E45" s="1" t="str">
        <f>IF(C45="","",(C45-1)*Modi!$B$51+2+($F$1-B45))</f>
        <v/>
      </c>
      <c r="F45" s="2" t="str">
        <f>IF(C45="","",INDEX(SPO!$H:$H,E45,1))</f>
        <v/>
      </c>
      <c r="G45" s="2" t="str">
        <f>IF(C45="","",INDEX(SPO!$I:$I,E45,1))</f>
        <v/>
      </c>
      <c r="H45" s="2" t="str">
        <f>IF(C45="","",INDEX(SPO!$J:$J,E45,1))</f>
        <v/>
      </c>
      <c r="I45" s="2" t="str">
        <f>IF(C45="","",INDEX(SPO!$K:$K,E45,1))</f>
        <v/>
      </c>
      <c r="O45" s="1" t="str">
        <f>IF(P45="","",O43)</f>
        <v/>
      </c>
      <c r="P45" s="1" t="str">
        <f>IF(P43&lt;$F$1,P43+1,"")</f>
        <v/>
      </c>
      <c r="Q45" s="3" t="str">
        <f>IF(P45="","",IF(Dati!$B25="",VLOOKUP(P45,P$9:Y$28,6,FALSE),Dati!$B25))</f>
        <v/>
      </c>
      <c r="R45" s="1" t="str">
        <f>IF(P45="","",(P45-1)*Modi!$B$51+2+($F$1-O45))</f>
        <v/>
      </c>
      <c r="S45" s="2" t="str">
        <f>IF(P45="","",INDEX(SPO!$H:$H,R45,1))</f>
        <v/>
      </c>
      <c r="T45" s="2" t="str">
        <f>IF(P45="","",INDEX(SPO!$I:$I,R45,1))</f>
        <v/>
      </c>
      <c r="U45" s="2" t="str">
        <f>IF(P45="","",INDEX(SPO!$J:$J,R45,1))</f>
        <v/>
      </c>
      <c r="V45" s="2" t="str">
        <f>IF(P45="","",INDEX(SPO!$K:$K,R45,1))</f>
        <v/>
      </c>
      <c r="AB45" s="1" t="str">
        <f>IF(AC45="","",AB43)</f>
        <v/>
      </c>
      <c r="AC45" s="1" t="str">
        <f>IF(AC43&lt;$F$1,AC43+1,"")</f>
        <v/>
      </c>
      <c r="AD45" s="3" t="str">
        <f>IF(AC45="","",IF(Dati!$B25="",VLOOKUP(AC45,AC$9:AL$28,6,FALSE),Dati!$B25))</f>
        <v/>
      </c>
      <c r="AE45" s="1" t="str">
        <f>IF(AC45="","",(AC45-1)*Modi!$B$51+2+($F$1-AB45))</f>
        <v/>
      </c>
      <c r="AF45" s="2" t="str">
        <f>IF(AC45="","",INDEX(SPO!$H:$H,AE45,1))</f>
        <v/>
      </c>
      <c r="AG45" s="2" t="str">
        <f>IF(AC45="","",INDEX(SPO!$I:$I,AE45,1))</f>
        <v/>
      </c>
      <c r="AH45" s="2" t="str">
        <f>IF(AC45="","",INDEX(SPO!$J:$J,AE45,1))</f>
        <v/>
      </c>
      <c r="AI45" s="2" t="str">
        <f>IF(AC45="","",INDEX(SPO!$K:$K,AE45,1))</f>
        <v/>
      </c>
      <c r="AO45" s="1" t="str">
        <f>IF(AP45="","",AO43)</f>
        <v/>
      </c>
      <c r="AP45" s="1" t="str">
        <f>IF(AP43&lt;$F$1,AP43+1,"")</f>
        <v/>
      </c>
      <c r="AQ45" s="3" t="str">
        <f>IF(AP45="","",IF(Dati!$B25="",VLOOKUP(AP45,AP$9:AY$28,6,FALSE),Dati!$B25))</f>
        <v/>
      </c>
      <c r="AR45" s="1" t="str">
        <f>IF(AP45="","",(AP45-1)*Modi!$B$51+2+($F$1-AO45))</f>
        <v/>
      </c>
      <c r="AS45" s="2" t="str">
        <f>IF(AP45="","",INDEX(SPO!$H:$H,AR45,1))</f>
        <v/>
      </c>
      <c r="AT45" s="2" t="str">
        <f>IF(AP45="","",INDEX(SPO!$I:$I,AR45,1))</f>
        <v/>
      </c>
      <c r="AU45" s="2" t="str">
        <f>IF(AP45="","",INDEX(SPO!$J:$J,AR45,1))</f>
        <v/>
      </c>
      <c r="AV45" s="2" t="str">
        <f>IF(AP45="","",INDEX(SPO!$K:$K,AR45,1))</f>
        <v/>
      </c>
      <c r="BB45" s="1" t="str">
        <f>IF(BC45="","",BB43)</f>
        <v/>
      </c>
      <c r="BC45" s="1" t="str">
        <f>IF(BC43&lt;$F$1,BC43+1,"")</f>
        <v/>
      </c>
      <c r="BD45" s="3" t="str">
        <f>IF(BC45="","",IF(Dati!$B25="",VLOOKUP(BC45,BC$9:BL$28,6,FALSE),Dati!$B25))</f>
        <v/>
      </c>
      <c r="BE45" s="1" t="str">
        <f>IF(BC45="","",(BC45-1)*Modi!$B$51+2+($F$1-BB45))</f>
        <v/>
      </c>
      <c r="BF45" s="2" t="str">
        <f>IF(BC45="","",INDEX(SPO!$H:$H,BE45,1))</f>
        <v/>
      </c>
      <c r="BG45" s="2" t="str">
        <f>IF(BC45="","",INDEX(SPO!$I:$I,BE45,1))</f>
        <v/>
      </c>
      <c r="BH45" s="2" t="str">
        <f>IF(BC45="","",INDEX(SPO!$J:$J,BE45,1))</f>
        <v/>
      </c>
      <c r="BI45" s="2" t="str">
        <f>IF(BC45="","",INDEX(SPO!$K:$K,BE45,1))</f>
        <v/>
      </c>
      <c r="BO45" s="1" t="str">
        <f>IF(BP45="","",BO43)</f>
        <v/>
      </c>
      <c r="BP45" s="1" t="str">
        <f>IF(BP43&lt;$F$1,BP43+1,"")</f>
        <v/>
      </c>
      <c r="BQ45" s="3" t="str">
        <f>IF(BP45="","",IF(Dati!$B25="",VLOOKUP(BP45,BP$9:BY$28,6,FALSE),Dati!$B25))</f>
        <v/>
      </c>
      <c r="BR45" s="1" t="str">
        <f>IF(BP45="","",(BP45-1)*Modi!$B$51+2+($F$1-BO45))</f>
        <v/>
      </c>
      <c r="BS45" s="2" t="str">
        <f>IF(BP45="","",INDEX(SPO!$H:$H,BR45,1))</f>
        <v/>
      </c>
      <c r="BT45" s="2" t="str">
        <f>IF(BP45="","",INDEX(SPO!$I:$I,BR45,1))</f>
        <v/>
      </c>
      <c r="BU45" s="2" t="str">
        <f>IF(BP45="","",INDEX(SPO!$J:$J,BR45,1))</f>
        <v/>
      </c>
      <c r="BV45" s="2" t="str">
        <f>IF(BP45="","",INDEX(SPO!$K:$K,BR45,1))</f>
        <v/>
      </c>
    </row>
    <row r="46" spans="1:74">
      <c r="C46" s="1"/>
      <c r="D46" s="3" t="str">
        <f>IF(C47="","",VLOOKUP(C45,C$9:L$28,7,FALSE))</f>
        <v/>
      </c>
      <c r="F46" s="2" t="str">
        <f>IF(C47="","",F45+(F47-F45)*(D46-D45)/(D47-D45))</f>
        <v/>
      </c>
      <c r="G46" s="2" t="str">
        <f>IF(D47="","",G45+(G47-G45)*(D46-D45)/(D47-D45))</f>
        <v/>
      </c>
      <c r="H46" s="2" t="str">
        <f>IF(E47="","",H45+(H47-H45)*(D46-D45)/(D47-D45))</f>
        <v/>
      </c>
      <c r="I46" s="2" t="str">
        <f>IF(F47="","",I45+(I47-I45)*(D46-D45)/(D47-D45))</f>
        <v/>
      </c>
      <c r="P46" s="1"/>
      <c r="Q46" s="3" t="str">
        <f>IF(P47="","",VLOOKUP(P45,P$9:Y$28,7,FALSE))</f>
        <v/>
      </c>
      <c r="S46" s="2" t="str">
        <f>IF(P47="","",S45+(S47-S45)*(Q46-Q45)/(Q47-Q45))</f>
        <v/>
      </c>
      <c r="T46" s="2" t="str">
        <f>IF(Q47="","",T45+(T47-T45)*(Q46-Q45)/(Q47-Q45))</f>
        <v/>
      </c>
      <c r="U46" s="2" t="str">
        <f>IF(R47="","",U45+(U47-U45)*(Q46-Q45)/(Q47-Q45))</f>
        <v/>
      </c>
      <c r="V46" s="2" t="str">
        <f>IF(S47="","",V45+(V47-V45)*(Q46-Q45)/(Q47-Q45))</f>
        <v/>
      </c>
      <c r="AC46" s="1"/>
      <c r="AD46" s="3" t="str">
        <f>IF(AC47="","",VLOOKUP(AC45,AC$9:AL$28,7,FALSE))</f>
        <v/>
      </c>
      <c r="AF46" s="2" t="str">
        <f>IF(AC47="","",AF45+(AF47-AF45)*(AD46-AD45)/(AD47-AD45))</f>
        <v/>
      </c>
      <c r="AG46" s="2" t="str">
        <f>IF(AD47="","",AG45+(AG47-AG45)*(AD46-AD45)/(AD47-AD45))</f>
        <v/>
      </c>
      <c r="AH46" s="2" t="str">
        <f>IF(AE47="","",AH45+(AH47-AH45)*(AD46-AD45)/(AD47-AD45))</f>
        <v/>
      </c>
      <c r="AI46" s="2" t="str">
        <f>IF(AF47="","",AI45+(AI47-AI45)*(AD46-AD45)/(AD47-AD45))</f>
        <v/>
      </c>
      <c r="AP46" s="1"/>
      <c r="AQ46" s="3" t="str">
        <f>IF(AP47="","",VLOOKUP(AP45,AP$9:AY$28,7,FALSE))</f>
        <v/>
      </c>
      <c r="AS46" s="2" t="str">
        <f>IF(AP47="","",AS45+(AS47-AS45)*(AQ46-AQ45)/(AQ47-AQ45))</f>
        <v/>
      </c>
      <c r="AT46" s="2" t="str">
        <f>IF(AQ47="","",AT45+(AT47-AT45)*(AQ46-AQ45)/(AQ47-AQ45))</f>
        <v/>
      </c>
      <c r="AU46" s="2" t="str">
        <f>IF(AR47="","",AU45+(AU47-AU45)*(AQ46-AQ45)/(AQ47-AQ45))</f>
        <v/>
      </c>
      <c r="AV46" s="2" t="str">
        <f>IF(AS47="","",AV45+(AV47-AV45)*(AQ46-AQ45)/(AQ47-AQ45))</f>
        <v/>
      </c>
      <c r="BC46" s="1"/>
      <c r="BD46" s="3" t="str">
        <f>IF(BC47="","",VLOOKUP(BC45,BC$9:BL$28,7,FALSE))</f>
        <v/>
      </c>
      <c r="BF46" s="2" t="str">
        <f>IF(BC47="","",BF45+(BF47-BF45)*(BD46-BD45)/(BD47-BD45))</f>
        <v/>
      </c>
      <c r="BG46" s="2" t="str">
        <f>IF(BD47="","",BG45+(BG47-BG45)*(BD46-BD45)/(BD47-BD45))</f>
        <v/>
      </c>
      <c r="BH46" s="2" t="str">
        <f>IF(BE47="","",BH45+(BH47-BH45)*(BD46-BD45)/(BD47-BD45))</f>
        <v/>
      </c>
      <c r="BI46" s="2" t="str">
        <f>IF(BF47="","",BI45+(BI47-BI45)*(BD46-BD45)/(BD47-BD45))</f>
        <v/>
      </c>
      <c r="BP46" s="1"/>
      <c r="BQ46" s="3" t="str">
        <f>IF(BP47="","",VLOOKUP(BP45,BP$9:BY$28,7,FALSE))</f>
        <v/>
      </c>
      <c r="BS46" s="2" t="str">
        <f>IF(BP47="","",BS45+(BS47-BS45)*(BQ46-BQ45)/(BQ47-BQ45))</f>
        <v/>
      </c>
      <c r="BT46" s="2" t="str">
        <f>IF(BQ47="","",BT45+(BT47-BT45)*(BQ46-BQ45)/(BQ47-BQ45))</f>
        <v/>
      </c>
      <c r="BU46" s="2" t="str">
        <f>IF(BR47="","",BU45+(BU47-BU45)*(BQ46-BQ45)/(BQ47-BQ45))</f>
        <v/>
      </c>
      <c r="BV46" s="2" t="str">
        <f>IF(BS47="","",BV45+(BV47-BV45)*(BQ46-BQ45)/(BQ47-BQ45))</f>
        <v/>
      </c>
    </row>
    <row r="47" spans="1:74">
      <c r="B47" s="1" t="str">
        <f>IF(C47="","",B45)</f>
        <v/>
      </c>
      <c r="C47" s="1" t="str">
        <f>IF(C45&lt;$F$1,C45+1,"")</f>
        <v/>
      </c>
      <c r="D47" s="3" t="str">
        <f>IF(C47="","",IF(Dati!$B26="",VLOOKUP(C47,C$9:L$28,6,FALSE),Dati!$B26))</f>
        <v/>
      </c>
      <c r="E47" s="1" t="str">
        <f>IF(C47="","",(C47-1)*Modi!$B$51+2+($F$1-B47))</f>
        <v/>
      </c>
      <c r="F47" s="2" t="str">
        <f>IF(C47="","",INDEX(SPO!$H:$H,E47,1))</f>
        <v/>
      </c>
      <c r="G47" s="2" t="str">
        <f>IF(C47="","",INDEX(SPO!$I:$I,E47,1))</f>
        <v/>
      </c>
      <c r="H47" s="2" t="str">
        <f>IF(C47="","",INDEX(SPO!$J:$J,E47,1))</f>
        <v/>
      </c>
      <c r="I47" s="2" t="str">
        <f>IF(C47="","",INDEX(SPO!$K:$K,E47,1))</f>
        <v/>
      </c>
      <c r="O47" s="1" t="str">
        <f>IF(P47="","",O45)</f>
        <v/>
      </c>
      <c r="P47" s="1" t="str">
        <f>IF(P45&lt;$F$1,P45+1,"")</f>
        <v/>
      </c>
      <c r="Q47" s="3" t="str">
        <f>IF(P47="","",IF(Dati!$B26="",VLOOKUP(P47,P$9:Y$28,6,FALSE),Dati!$B26))</f>
        <v/>
      </c>
      <c r="R47" s="1" t="str">
        <f>IF(P47="","",(P47-1)*Modi!$B$51+2+($F$1-O47))</f>
        <v/>
      </c>
      <c r="S47" s="2" t="str">
        <f>IF(P47="","",INDEX(SPO!$H:$H,R47,1))</f>
        <v/>
      </c>
      <c r="T47" s="2" t="str">
        <f>IF(P47="","",INDEX(SPO!$I:$I,R47,1))</f>
        <v/>
      </c>
      <c r="U47" s="2" t="str">
        <f>IF(P47="","",INDEX(SPO!$J:$J,R47,1))</f>
        <v/>
      </c>
      <c r="V47" s="2" t="str">
        <f>IF(P47="","",INDEX(SPO!$K:$K,R47,1))</f>
        <v/>
      </c>
      <c r="AB47" s="1" t="str">
        <f>IF(AC47="","",AB45)</f>
        <v/>
      </c>
      <c r="AC47" s="1" t="str">
        <f>IF(AC45&lt;$F$1,AC45+1,"")</f>
        <v/>
      </c>
      <c r="AD47" s="3" t="str">
        <f>IF(AC47="","",IF(Dati!$B26="",VLOOKUP(AC47,AC$9:AL$28,6,FALSE),Dati!$B26))</f>
        <v/>
      </c>
      <c r="AE47" s="1" t="str">
        <f>IF(AC47="","",(AC47-1)*Modi!$B$51+2+($F$1-AB47))</f>
        <v/>
      </c>
      <c r="AF47" s="2" t="str">
        <f>IF(AC47="","",INDEX(SPO!$H:$H,AE47,1))</f>
        <v/>
      </c>
      <c r="AG47" s="2" t="str">
        <f>IF(AC47="","",INDEX(SPO!$I:$I,AE47,1))</f>
        <v/>
      </c>
      <c r="AH47" s="2" t="str">
        <f>IF(AC47="","",INDEX(SPO!$J:$J,AE47,1))</f>
        <v/>
      </c>
      <c r="AI47" s="2" t="str">
        <f>IF(AC47="","",INDEX(SPO!$K:$K,AE47,1))</f>
        <v/>
      </c>
      <c r="AO47" s="1" t="str">
        <f>IF(AP47="","",AO45)</f>
        <v/>
      </c>
      <c r="AP47" s="1" t="str">
        <f>IF(AP45&lt;$F$1,AP45+1,"")</f>
        <v/>
      </c>
      <c r="AQ47" s="3" t="str">
        <f>IF(AP47="","",IF(Dati!$B26="",VLOOKUP(AP47,AP$9:AY$28,6,FALSE),Dati!$B26))</f>
        <v/>
      </c>
      <c r="AR47" s="1" t="str">
        <f>IF(AP47="","",(AP47-1)*Modi!$B$51+2+($F$1-AO47))</f>
        <v/>
      </c>
      <c r="AS47" s="2" t="str">
        <f>IF(AP47="","",INDEX(SPO!$H:$H,AR47,1))</f>
        <v/>
      </c>
      <c r="AT47" s="2" t="str">
        <f>IF(AP47="","",INDEX(SPO!$I:$I,AR47,1))</f>
        <v/>
      </c>
      <c r="AU47" s="2" t="str">
        <f>IF(AP47="","",INDEX(SPO!$J:$J,AR47,1))</f>
        <v/>
      </c>
      <c r="AV47" s="2" t="str">
        <f>IF(AP47="","",INDEX(SPO!$K:$K,AR47,1))</f>
        <v/>
      </c>
      <c r="BB47" s="1" t="str">
        <f>IF(BC47="","",BB45)</f>
        <v/>
      </c>
      <c r="BC47" s="1" t="str">
        <f>IF(BC45&lt;$F$1,BC45+1,"")</f>
        <v/>
      </c>
      <c r="BD47" s="3" t="str">
        <f>IF(BC47="","",IF(Dati!$B26="",VLOOKUP(BC47,BC$9:BL$28,6,FALSE),Dati!$B26))</f>
        <v/>
      </c>
      <c r="BE47" s="1" t="str">
        <f>IF(BC47="","",(BC47-1)*Modi!$B$51+2+($F$1-BB47))</f>
        <v/>
      </c>
      <c r="BF47" s="2" t="str">
        <f>IF(BC47="","",INDEX(SPO!$H:$H,BE47,1))</f>
        <v/>
      </c>
      <c r="BG47" s="2" t="str">
        <f>IF(BC47="","",INDEX(SPO!$I:$I,BE47,1))</f>
        <v/>
      </c>
      <c r="BH47" s="2" t="str">
        <f>IF(BC47="","",INDEX(SPO!$J:$J,BE47,1))</f>
        <v/>
      </c>
      <c r="BI47" s="2" t="str">
        <f>IF(BC47="","",INDEX(SPO!$K:$K,BE47,1))</f>
        <v/>
      </c>
      <c r="BO47" s="1" t="str">
        <f>IF(BP47="","",BO45)</f>
        <v/>
      </c>
      <c r="BP47" s="1" t="str">
        <f>IF(BP45&lt;$F$1,BP45+1,"")</f>
        <v/>
      </c>
      <c r="BQ47" s="3" t="str">
        <f>IF(BP47="","",IF(Dati!$B26="",VLOOKUP(BP47,BP$9:BY$28,6,FALSE),Dati!$B26))</f>
        <v/>
      </c>
      <c r="BR47" s="1" t="str">
        <f>IF(BP47="","",(BP47-1)*Modi!$B$51+2+($F$1-BO47))</f>
        <v/>
      </c>
      <c r="BS47" s="2" t="str">
        <f>IF(BP47="","",INDEX(SPO!$H:$H,BR47,1))</f>
        <v/>
      </c>
      <c r="BT47" s="2" t="str">
        <f>IF(BP47="","",INDEX(SPO!$I:$I,BR47,1))</f>
        <v/>
      </c>
      <c r="BU47" s="2" t="str">
        <f>IF(BP47="","",INDEX(SPO!$J:$J,BR47,1))</f>
        <v/>
      </c>
      <c r="BV47" s="2" t="str">
        <f>IF(BP47="","",INDEX(SPO!$K:$K,BR47,1))</f>
        <v/>
      </c>
    </row>
    <row r="48" spans="1:74">
      <c r="C48" s="1"/>
      <c r="D48" s="3" t="str">
        <f>IF(C49="","",VLOOKUP(C47,C$9:L$28,7,FALSE))</f>
        <v/>
      </c>
      <c r="F48" s="2" t="str">
        <f>IF(C49="","",F47+(F49-F47)*(D48-D47)/(D49-D47))</f>
        <v/>
      </c>
      <c r="G48" s="2" t="str">
        <f>IF(D49="","",G47+(G49-G47)*(D48-D47)/(D49-D47))</f>
        <v/>
      </c>
      <c r="H48" s="2" t="str">
        <f>IF(E49="","",H47+(H49-H47)*(D48-D47)/(D49-D47))</f>
        <v/>
      </c>
      <c r="I48" s="2" t="str">
        <f>IF(F49="","",I47+(I49-I47)*(D48-D47)/(D49-D47))</f>
        <v/>
      </c>
      <c r="P48" s="1"/>
      <c r="Q48" s="3" t="str">
        <f>IF(P49="","",VLOOKUP(P47,P$9:Y$28,7,FALSE))</f>
        <v/>
      </c>
      <c r="S48" s="2" t="str">
        <f>IF(P49="","",S47+(S49-S47)*(Q48-Q47)/(Q49-Q47))</f>
        <v/>
      </c>
      <c r="T48" s="2" t="str">
        <f>IF(Q49="","",T47+(T49-T47)*(Q48-Q47)/(Q49-Q47))</f>
        <v/>
      </c>
      <c r="U48" s="2" t="str">
        <f>IF(R49="","",U47+(U49-U47)*(Q48-Q47)/(Q49-Q47))</f>
        <v/>
      </c>
      <c r="V48" s="2" t="str">
        <f>IF(S49="","",V47+(V49-V47)*(Q48-Q47)/(Q49-Q47))</f>
        <v/>
      </c>
      <c r="AC48" s="1"/>
      <c r="AD48" s="3" t="str">
        <f>IF(AC49="","",VLOOKUP(AC47,AC$9:AL$28,7,FALSE))</f>
        <v/>
      </c>
      <c r="AF48" s="2" t="str">
        <f>IF(AC49="","",AF47+(AF49-AF47)*(AD48-AD47)/(AD49-AD47))</f>
        <v/>
      </c>
      <c r="AG48" s="2" t="str">
        <f>IF(AD49="","",AG47+(AG49-AG47)*(AD48-AD47)/(AD49-AD47))</f>
        <v/>
      </c>
      <c r="AH48" s="2" t="str">
        <f>IF(AE49="","",AH47+(AH49-AH47)*(AD48-AD47)/(AD49-AD47))</f>
        <v/>
      </c>
      <c r="AI48" s="2" t="str">
        <f>IF(AF49="","",AI47+(AI49-AI47)*(AD48-AD47)/(AD49-AD47))</f>
        <v/>
      </c>
      <c r="AP48" s="1"/>
      <c r="AQ48" s="3" t="str">
        <f>IF(AP49="","",VLOOKUP(AP47,AP$9:AY$28,7,FALSE))</f>
        <v/>
      </c>
      <c r="AS48" s="2" t="str">
        <f>IF(AP49="","",AS47+(AS49-AS47)*(AQ48-AQ47)/(AQ49-AQ47))</f>
        <v/>
      </c>
      <c r="AT48" s="2" t="str">
        <f>IF(AQ49="","",AT47+(AT49-AT47)*(AQ48-AQ47)/(AQ49-AQ47))</f>
        <v/>
      </c>
      <c r="AU48" s="2" t="str">
        <f>IF(AR49="","",AU47+(AU49-AU47)*(AQ48-AQ47)/(AQ49-AQ47))</f>
        <v/>
      </c>
      <c r="AV48" s="2" t="str">
        <f>IF(AS49="","",AV47+(AV49-AV47)*(AQ48-AQ47)/(AQ49-AQ47))</f>
        <v/>
      </c>
      <c r="BC48" s="1"/>
      <c r="BD48" s="3" t="str">
        <f>IF(BC49="","",VLOOKUP(BC47,BC$9:BL$28,7,FALSE))</f>
        <v/>
      </c>
      <c r="BF48" s="2" t="str">
        <f>IF(BC49="","",BF47+(BF49-BF47)*(BD48-BD47)/(BD49-BD47))</f>
        <v/>
      </c>
      <c r="BG48" s="2" t="str">
        <f>IF(BD49="","",BG47+(BG49-BG47)*(BD48-BD47)/(BD49-BD47))</f>
        <v/>
      </c>
      <c r="BH48" s="2" t="str">
        <f>IF(BE49="","",BH47+(BH49-BH47)*(BD48-BD47)/(BD49-BD47))</f>
        <v/>
      </c>
      <c r="BI48" s="2" t="str">
        <f>IF(BF49="","",BI47+(BI49-BI47)*(BD48-BD47)/(BD49-BD47))</f>
        <v/>
      </c>
      <c r="BP48" s="1"/>
      <c r="BQ48" s="3" t="str">
        <f>IF(BP49="","",VLOOKUP(BP47,BP$9:BY$28,7,FALSE))</f>
        <v/>
      </c>
      <c r="BS48" s="2" t="str">
        <f>IF(BP49="","",BS47+(BS49-BS47)*(BQ48-BQ47)/(BQ49-BQ47))</f>
        <v/>
      </c>
      <c r="BT48" s="2" t="str">
        <f>IF(BQ49="","",BT47+(BT49-BT47)*(BQ48-BQ47)/(BQ49-BQ47))</f>
        <v/>
      </c>
      <c r="BU48" s="2" t="str">
        <f>IF(BR49="","",BU47+(BU49-BU47)*(BQ48-BQ47)/(BQ49-BQ47))</f>
        <v/>
      </c>
      <c r="BV48" s="2" t="str">
        <f>IF(BS49="","",BV47+(BV49-BV47)*(BQ48-BQ47)/(BQ49-BQ47))</f>
        <v/>
      </c>
    </row>
    <row r="49" spans="1:74">
      <c r="B49" s="1" t="str">
        <f>IF(C49="","",B47)</f>
        <v/>
      </c>
      <c r="C49" s="1" t="str">
        <f>IF(C47&lt;$F$1,C47+1,"")</f>
        <v/>
      </c>
      <c r="D49" s="3" t="str">
        <f>IF(C49="","",IF(Dati!$B27="",VLOOKUP(C49,C$9:L$28,6,FALSE),Dati!$B27))</f>
        <v/>
      </c>
      <c r="E49" s="1" t="str">
        <f>IF(C49="","",(C49-1)*Modi!$B$51+2+($F$1-B49))</f>
        <v/>
      </c>
      <c r="F49" s="2" t="str">
        <f>IF(C49="","",INDEX(SPO!$H:$H,E49,1))</f>
        <v/>
      </c>
      <c r="G49" s="2" t="str">
        <f>IF(C49="","",INDEX(SPO!$I:$I,E49,1))</f>
        <v/>
      </c>
      <c r="H49" s="2" t="str">
        <f>IF(C49="","",INDEX(SPO!$J:$J,E49,1))</f>
        <v/>
      </c>
      <c r="I49" s="2" t="str">
        <f>IF(C49="","",INDEX(SPO!$K:$K,E49,1))</f>
        <v/>
      </c>
      <c r="O49" s="1" t="str">
        <f>IF(P49="","",O47)</f>
        <v/>
      </c>
      <c r="P49" s="1" t="str">
        <f>IF(P47&lt;$F$1,P47+1,"")</f>
        <v/>
      </c>
      <c r="Q49" s="3" t="str">
        <f>IF(P49="","",IF(Dati!$B27="",VLOOKUP(P49,P$9:Y$28,6,FALSE),Dati!$B27))</f>
        <v/>
      </c>
      <c r="R49" s="1" t="str">
        <f>IF(P49="","",(P49-1)*Modi!$B$51+2+($F$1-O49))</f>
        <v/>
      </c>
      <c r="S49" s="2" t="str">
        <f>IF(P49="","",INDEX(SPO!$H:$H,R49,1))</f>
        <v/>
      </c>
      <c r="T49" s="2" t="str">
        <f>IF(P49="","",INDEX(SPO!$I:$I,R49,1))</f>
        <v/>
      </c>
      <c r="U49" s="2" t="str">
        <f>IF(P49="","",INDEX(SPO!$J:$J,R49,1))</f>
        <v/>
      </c>
      <c r="V49" s="2" t="str">
        <f>IF(P49="","",INDEX(SPO!$K:$K,R49,1))</f>
        <v/>
      </c>
      <c r="AB49" s="1" t="str">
        <f>IF(AC49="","",AB47)</f>
        <v/>
      </c>
      <c r="AC49" s="1" t="str">
        <f>IF(AC47&lt;$F$1,AC47+1,"")</f>
        <v/>
      </c>
      <c r="AD49" s="3" t="str">
        <f>IF(AC49="","",IF(Dati!$B27="",VLOOKUP(AC49,AC$9:AL$28,6,FALSE),Dati!$B27))</f>
        <v/>
      </c>
      <c r="AE49" s="1" t="str">
        <f>IF(AC49="","",(AC49-1)*Modi!$B$51+2+($F$1-AB49))</f>
        <v/>
      </c>
      <c r="AF49" s="2" t="str">
        <f>IF(AC49="","",INDEX(SPO!$H:$H,AE49,1))</f>
        <v/>
      </c>
      <c r="AG49" s="2" t="str">
        <f>IF(AC49="","",INDEX(SPO!$I:$I,AE49,1))</f>
        <v/>
      </c>
      <c r="AH49" s="2" t="str">
        <f>IF(AC49="","",INDEX(SPO!$J:$J,AE49,1))</f>
        <v/>
      </c>
      <c r="AI49" s="2" t="str">
        <f>IF(AC49="","",INDEX(SPO!$K:$K,AE49,1))</f>
        <v/>
      </c>
      <c r="AO49" s="1" t="str">
        <f>IF(AP49="","",AO47)</f>
        <v/>
      </c>
      <c r="AP49" s="1" t="str">
        <f>IF(AP47&lt;$F$1,AP47+1,"")</f>
        <v/>
      </c>
      <c r="AQ49" s="3" t="str">
        <f>IF(AP49="","",IF(Dati!$B27="",VLOOKUP(AP49,AP$9:AY$28,6,FALSE),Dati!$B27))</f>
        <v/>
      </c>
      <c r="AR49" s="1" t="str">
        <f>IF(AP49="","",(AP49-1)*Modi!$B$51+2+($F$1-AO49))</f>
        <v/>
      </c>
      <c r="AS49" s="2" t="str">
        <f>IF(AP49="","",INDEX(SPO!$H:$H,AR49,1))</f>
        <v/>
      </c>
      <c r="AT49" s="2" t="str">
        <f>IF(AP49="","",INDEX(SPO!$I:$I,AR49,1))</f>
        <v/>
      </c>
      <c r="AU49" s="2" t="str">
        <f>IF(AP49="","",INDEX(SPO!$J:$J,AR49,1))</f>
        <v/>
      </c>
      <c r="AV49" s="2" t="str">
        <f>IF(AP49="","",INDEX(SPO!$K:$K,AR49,1))</f>
        <v/>
      </c>
      <c r="BB49" s="1" t="str">
        <f>IF(BC49="","",BB47)</f>
        <v/>
      </c>
      <c r="BC49" s="1" t="str">
        <f>IF(BC47&lt;$F$1,BC47+1,"")</f>
        <v/>
      </c>
      <c r="BD49" s="3" t="str">
        <f>IF(BC49="","",IF(Dati!$B27="",VLOOKUP(BC49,BC$9:BL$28,6,FALSE),Dati!$B27))</f>
        <v/>
      </c>
      <c r="BE49" s="1" t="str">
        <f>IF(BC49="","",(BC49-1)*Modi!$B$51+2+($F$1-BB49))</f>
        <v/>
      </c>
      <c r="BF49" s="2" t="str">
        <f>IF(BC49="","",INDEX(SPO!$H:$H,BE49,1))</f>
        <v/>
      </c>
      <c r="BG49" s="2" t="str">
        <f>IF(BC49="","",INDEX(SPO!$I:$I,BE49,1))</f>
        <v/>
      </c>
      <c r="BH49" s="2" t="str">
        <f>IF(BC49="","",INDEX(SPO!$J:$J,BE49,1))</f>
        <v/>
      </c>
      <c r="BI49" s="2" t="str">
        <f>IF(BC49="","",INDEX(SPO!$K:$K,BE49,1))</f>
        <v/>
      </c>
      <c r="BO49" s="1" t="str">
        <f>IF(BP49="","",BO47)</f>
        <v/>
      </c>
      <c r="BP49" s="1" t="str">
        <f>IF(BP47&lt;$F$1,BP47+1,"")</f>
        <v/>
      </c>
      <c r="BQ49" s="3" t="str">
        <f>IF(BP49="","",IF(Dati!$B27="",VLOOKUP(BP49,BP$9:BY$28,6,FALSE),Dati!$B27))</f>
        <v/>
      </c>
      <c r="BR49" s="1" t="str">
        <f>IF(BP49="","",(BP49-1)*Modi!$B$51+2+($F$1-BO49))</f>
        <v/>
      </c>
      <c r="BS49" s="2" t="str">
        <f>IF(BP49="","",INDEX(SPO!$H:$H,BR49,1))</f>
        <v/>
      </c>
      <c r="BT49" s="2" t="str">
        <f>IF(BP49="","",INDEX(SPO!$I:$I,BR49,1))</f>
        <v/>
      </c>
      <c r="BU49" s="2" t="str">
        <f>IF(BP49="","",INDEX(SPO!$J:$J,BR49,1))</f>
        <v/>
      </c>
      <c r="BV49" s="2" t="str">
        <f>IF(BP49="","",INDEX(SPO!$K:$K,BR49,1))</f>
        <v/>
      </c>
    </row>
    <row r="50" spans="1:74">
      <c r="C50" s="1"/>
      <c r="D50" s="3" t="str">
        <f>IF(C51="","",VLOOKUP(C49,C$9:L$28,7,FALSE))</f>
        <v/>
      </c>
      <c r="F50" s="2" t="str">
        <f>IF(C51="","",F49+(F51-F49)*(D50-D49)/(D51-D49))</f>
        <v/>
      </c>
      <c r="G50" s="2" t="str">
        <f>IF(D51="","",G49+(G51-G49)*(D50-D49)/(D51-D49))</f>
        <v/>
      </c>
      <c r="H50" s="2" t="str">
        <f>IF(E51="","",H49+(H51-H49)*(D50-D49)/(D51-D49))</f>
        <v/>
      </c>
      <c r="I50" s="2" t="str">
        <f>IF(F51="","",I49+(I51-I49)*(D50-D49)/(D51-D49))</f>
        <v/>
      </c>
      <c r="P50" s="1"/>
      <c r="Q50" s="3" t="str">
        <f>IF(P51="","",VLOOKUP(P49,P$9:Y$28,7,FALSE))</f>
        <v/>
      </c>
      <c r="S50" s="2" t="str">
        <f>IF(P51="","",S49+(S51-S49)*(Q50-Q49)/(Q51-Q49))</f>
        <v/>
      </c>
      <c r="T50" s="2" t="str">
        <f>IF(Q51="","",T49+(T51-T49)*(Q50-Q49)/(Q51-Q49))</f>
        <v/>
      </c>
      <c r="U50" s="2" t="str">
        <f>IF(R51="","",U49+(U51-U49)*(Q50-Q49)/(Q51-Q49))</f>
        <v/>
      </c>
      <c r="V50" s="2" t="str">
        <f>IF(S51="","",V49+(V51-V49)*(Q50-Q49)/(Q51-Q49))</f>
        <v/>
      </c>
      <c r="AC50" s="1"/>
      <c r="AD50" s="3" t="str">
        <f>IF(AC51="","",VLOOKUP(AC49,AC$9:AL$28,7,FALSE))</f>
        <v/>
      </c>
      <c r="AF50" s="2" t="str">
        <f>IF(AC51="","",AF49+(AF51-AF49)*(AD50-AD49)/(AD51-AD49))</f>
        <v/>
      </c>
      <c r="AG50" s="2" t="str">
        <f>IF(AD51="","",AG49+(AG51-AG49)*(AD50-AD49)/(AD51-AD49))</f>
        <v/>
      </c>
      <c r="AH50" s="2" t="str">
        <f>IF(AE51="","",AH49+(AH51-AH49)*(AD50-AD49)/(AD51-AD49))</f>
        <v/>
      </c>
      <c r="AI50" s="2" t="str">
        <f>IF(AF51="","",AI49+(AI51-AI49)*(AD50-AD49)/(AD51-AD49))</f>
        <v/>
      </c>
      <c r="AP50" s="1"/>
      <c r="AQ50" s="3" t="str">
        <f>IF(AP51="","",VLOOKUP(AP49,AP$9:AY$28,7,FALSE))</f>
        <v/>
      </c>
      <c r="AS50" s="2" t="str">
        <f>IF(AP51="","",AS49+(AS51-AS49)*(AQ50-AQ49)/(AQ51-AQ49))</f>
        <v/>
      </c>
      <c r="AT50" s="2" t="str">
        <f>IF(AQ51="","",AT49+(AT51-AT49)*(AQ50-AQ49)/(AQ51-AQ49))</f>
        <v/>
      </c>
      <c r="AU50" s="2" t="str">
        <f>IF(AR51="","",AU49+(AU51-AU49)*(AQ50-AQ49)/(AQ51-AQ49))</f>
        <v/>
      </c>
      <c r="AV50" s="2" t="str">
        <f>IF(AS51="","",AV49+(AV51-AV49)*(AQ50-AQ49)/(AQ51-AQ49))</f>
        <v/>
      </c>
      <c r="BC50" s="1"/>
      <c r="BD50" s="3" t="str">
        <f>IF(BC51="","",VLOOKUP(BC49,BC$9:BL$28,7,FALSE))</f>
        <v/>
      </c>
      <c r="BF50" s="2" t="str">
        <f>IF(BC51="","",BF49+(BF51-BF49)*(BD50-BD49)/(BD51-BD49))</f>
        <v/>
      </c>
      <c r="BG50" s="2" t="str">
        <f>IF(BD51="","",BG49+(BG51-BG49)*(BD50-BD49)/(BD51-BD49))</f>
        <v/>
      </c>
      <c r="BH50" s="2" t="str">
        <f>IF(BE51="","",BH49+(BH51-BH49)*(BD50-BD49)/(BD51-BD49))</f>
        <v/>
      </c>
      <c r="BI50" s="2" t="str">
        <f>IF(BF51="","",BI49+(BI51-BI49)*(BD50-BD49)/(BD51-BD49))</f>
        <v/>
      </c>
      <c r="BP50" s="1"/>
      <c r="BQ50" s="3" t="str">
        <f>IF(BP51="","",VLOOKUP(BP49,BP$9:BY$28,7,FALSE))</f>
        <v/>
      </c>
      <c r="BS50" s="2" t="str">
        <f>IF(BP51="","",BS49+(BS51-BS49)*(BQ50-BQ49)/(BQ51-BQ49))</f>
        <v/>
      </c>
      <c r="BT50" s="2" t="str">
        <f>IF(BQ51="","",BT49+(BT51-BT49)*(BQ50-BQ49)/(BQ51-BQ49))</f>
        <v/>
      </c>
      <c r="BU50" s="2" t="str">
        <f>IF(BR51="","",BU49+(BU51-BU49)*(BQ50-BQ49)/(BQ51-BQ49))</f>
        <v/>
      </c>
      <c r="BV50" s="2" t="str">
        <f>IF(BS51="","",BV49+(BV51-BV49)*(BQ50-BQ49)/(BQ51-BQ49))</f>
        <v/>
      </c>
    </row>
    <row r="51" spans="1:74">
      <c r="B51" s="1" t="str">
        <f>IF(C51="","",B49)</f>
        <v/>
      </c>
      <c r="C51" s="1" t="str">
        <f>IF(C49&lt;$F$1,C49+1,"")</f>
        <v/>
      </c>
      <c r="D51" s="3" t="str">
        <f>IF(C51="","",IF(Dati!$B28="",VLOOKUP(C51,C$9:L$28,6,FALSE),Dati!$B28))</f>
        <v/>
      </c>
      <c r="E51" s="1" t="str">
        <f>IF(C51="","",(C51-1)*Modi!$B$51+2+($F$1-B51))</f>
        <v/>
      </c>
      <c r="F51" s="2" t="str">
        <f>IF(C51="","",INDEX(SPO!$H:$H,E51,1))</f>
        <v/>
      </c>
      <c r="G51" s="2" t="str">
        <f>IF(C51="","",INDEX(SPO!$I:$I,E51,1))</f>
        <v/>
      </c>
      <c r="H51" s="2" t="str">
        <f>IF(C51="","",INDEX(SPO!$J:$J,E51,1))</f>
        <v/>
      </c>
      <c r="I51" s="2" t="str">
        <f>IF(C51="","",INDEX(SPO!$K:$K,E51,1))</f>
        <v/>
      </c>
      <c r="O51" s="1" t="str">
        <f>IF(P51="","",O49)</f>
        <v/>
      </c>
      <c r="P51" s="1" t="str">
        <f>IF(P49&lt;$F$1,P49+1,"")</f>
        <v/>
      </c>
      <c r="Q51" s="3" t="str">
        <f>IF(P51="","",IF(Dati!$B28="",VLOOKUP(P51,P$9:Y$28,6,FALSE),Dati!$B28))</f>
        <v/>
      </c>
      <c r="R51" s="1" t="str">
        <f>IF(P51="","",(P51-1)*Modi!$B$51+2+($F$1-O51))</f>
        <v/>
      </c>
      <c r="S51" s="2" t="str">
        <f>IF(P51="","",INDEX(SPO!$H:$H,R51,1))</f>
        <v/>
      </c>
      <c r="T51" s="2" t="str">
        <f>IF(P51="","",INDEX(SPO!$I:$I,R51,1))</f>
        <v/>
      </c>
      <c r="U51" s="2" t="str">
        <f>IF(P51="","",INDEX(SPO!$J:$J,R51,1))</f>
        <v/>
      </c>
      <c r="V51" s="2" t="str">
        <f>IF(P51="","",INDEX(SPO!$K:$K,R51,1))</f>
        <v/>
      </c>
      <c r="AB51" s="1" t="str">
        <f>IF(AC51="","",AB49)</f>
        <v/>
      </c>
      <c r="AC51" s="1" t="str">
        <f>IF(AC49&lt;$F$1,AC49+1,"")</f>
        <v/>
      </c>
      <c r="AD51" s="3" t="str">
        <f>IF(AC51="","",IF(Dati!$B28="",VLOOKUP(AC51,AC$9:AL$28,6,FALSE),Dati!$B28))</f>
        <v/>
      </c>
      <c r="AE51" s="1" t="str">
        <f>IF(AC51="","",(AC51-1)*Modi!$B$51+2+($F$1-AB51))</f>
        <v/>
      </c>
      <c r="AF51" s="2" t="str">
        <f>IF(AC51="","",INDEX(SPO!$H:$H,AE51,1))</f>
        <v/>
      </c>
      <c r="AG51" s="2" t="str">
        <f>IF(AC51="","",INDEX(SPO!$I:$I,AE51,1))</f>
        <v/>
      </c>
      <c r="AH51" s="2" t="str">
        <f>IF(AC51="","",INDEX(SPO!$J:$J,AE51,1))</f>
        <v/>
      </c>
      <c r="AI51" s="2" t="str">
        <f>IF(AC51="","",INDEX(SPO!$K:$K,AE51,1))</f>
        <v/>
      </c>
      <c r="AO51" s="1" t="str">
        <f>IF(AP51="","",AO49)</f>
        <v/>
      </c>
      <c r="AP51" s="1" t="str">
        <f>IF(AP49&lt;$F$1,AP49+1,"")</f>
        <v/>
      </c>
      <c r="AQ51" s="3" t="str">
        <f>IF(AP51="","",IF(Dati!$B28="",VLOOKUP(AP51,AP$9:AY$28,6,FALSE),Dati!$B28))</f>
        <v/>
      </c>
      <c r="AR51" s="1" t="str">
        <f>IF(AP51="","",(AP51-1)*Modi!$B$51+2+($F$1-AO51))</f>
        <v/>
      </c>
      <c r="AS51" s="2" t="str">
        <f>IF(AP51="","",INDEX(SPO!$H:$H,AR51,1))</f>
        <v/>
      </c>
      <c r="AT51" s="2" t="str">
        <f>IF(AP51="","",INDEX(SPO!$I:$I,AR51,1))</f>
        <v/>
      </c>
      <c r="AU51" s="2" t="str">
        <f>IF(AP51="","",INDEX(SPO!$J:$J,AR51,1))</f>
        <v/>
      </c>
      <c r="AV51" s="2" t="str">
        <f>IF(AP51="","",INDEX(SPO!$K:$K,AR51,1))</f>
        <v/>
      </c>
      <c r="BB51" s="1" t="str">
        <f>IF(BC51="","",BB49)</f>
        <v/>
      </c>
      <c r="BC51" s="1" t="str">
        <f>IF(BC49&lt;$F$1,BC49+1,"")</f>
        <v/>
      </c>
      <c r="BD51" s="3" t="str">
        <f>IF(BC51="","",IF(Dati!$B28="",VLOOKUP(BC51,BC$9:BL$28,6,FALSE),Dati!$B28))</f>
        <v/>
      </c>
      <c r="BE51" s="1" t="str">
        <f>IF(BC51="","",(BC51-1)*Modi!$B$51+2+($F$1-BB51))</f>
        <v/>
      </c>
      <c r="BF51" s="2" t="str">
        <f>IF(BC51="","",INDEX(SPO!$H:$H,BE51,1))</f>
        <v/>
      </c>
      <c r="BG51" s="2" t="str">
        <f>IF(BC51="","",INDEX(SPO!$I:$I,BE51,1))</f>
        <v/>
      </c>
      <c r="BH51" s="2" t="str">
        <f>IF(BC51="","",INDEX(SPO!$J:$J,BE51,1))</f>
        <v/>
      </c>
      <c r="BI51" s="2" t="str">
        <f>IF(BC51="","",INDEX(SPO!$K:$K,BE51,1))</f>
        <v/>
      </c>
      <c r="BO51" s="1" t="str">
        <f>IF(BP51="","",BO49)</f>
        <v/>
      </c>
      <c r="BP51" s="1" t="str">
        <f>IF(BP49&lt;$F$1,BP49+1,"")</f>
        <v/>
      </c>
      <c r="BQ51" s="3" t="str">
        <f>IF(BP51="","",IF(Dati!$B28="",VLOOKUP(BP51,BP$9:BY$28,6,FALSE),Dati!$B28))</f>
        <v/>
      </c>
      <c r="BR51" s="1" t="str">
        <f>IF(BP51="","",(BP51-1)*Modi!$B$51+2+($F$1-BO51))</f>
        <v/>
      </c>
      <c r="BS51" s="2" t="str">
        <f>IF(BP51="","",INDEX(SPO!$H:$H,BR51,1))</f>
        <v/>
      </c>
      <c r="BT51" s="2" t="str">
        <f>IF(BP51="","",INDEX(SPO!$I:$I,BR51,1))</f>
        <v/>
      </c>
      <c r="BU51" s="2" t="str">
        <f>IF(BP51="","",INDEX(SPO!$J:$J,BR51,1))</f>
        <v/>
      </c>
      <c r="BV51" s="2" t="str">
        <f>IF(BP51="","",INDEX(SPO!$K:$K,BR51,1))</f>
        <v/>
      </c>
    </row>
    <row r="52" spans="1:74">
      <c r="C52" s="1"/>
      <c r="D52" s="3" t="str">
        <f>IF(C53="","",VLOOKUP(C51,C$9:L$28,7,FALSE))</f>
        <v/>
      </c>
      <c r="F52" s="2" t="str">
        <f>IF(C53="","",F51+(F53-F51)*(D52-D51)/(D53-D51))</f>
        <v/>
      </c>
      <c r="G52" s="2" t="str">
        <f>IF(D53="","",G51+(G53-G51)*(D52-D51)/(D53-D51))</f>
        <v/>
      </c>
      <c r="H52" s="2" t="str">
        <f>IF(E53="","",H51+(H53-H51)*(D52-D51)/(D53-D51))</f>
        <v/>
      </c>
      <c r="I52" s="2" t="str">
        <f>IF(F53="","",I51+(I53-I51)*(D52-D51)/(D53-D51))</f>
        <v/>
      </c>
      <c r="P52" s="1"/>
      <c r="Q52" s="3" t="str">
        <f>IF(P53="","",VLOOKUP(P51,P$9:Y$28,7,FALSE))</f>
        <v/>
      </c>
      <c r="S52" s="2" t="str">
        <f>IF(P53="","",S51+(S53-S51)*(Q52-Q51)/(Q53-Q51))</f>
        <v/>
      </c>
      <c r="T52" s="2" t="str">
        <f>IF(Q53="","",T51+(T53-T51)*(Q52-Q51)/(Q53-Q51))</f>
        <v/>
      </c>
      <c r="U52" s="2" t="str">
        <f>IF(R53="","",U51+(U53-U51)*(Q52-Q51)/(Q53-Q51))</f>
        <v/>
      </c>
      <c r="V52" s="2" t="str">
        <f>IF(S53="","",V51+(V53-V51)*(Q52-Q51)/(Q53-Q51))</f>
        <v/>
      </c>
      <c r="AC52" s="1"/>
      <c r="AD52" s="3" t="str">
        <f>IF(AC53="","",VLOOKUP(AC51,AC$9:AL$28,7,FALSE))</f>
        <v/>
      </c>
      <c r="AF52" s="2" t="str">
        <f>IF(AC53="","",AF51+(AF53-AF51)*(AD52-AD51)/(AD53-AD51))</f>
        <v/>
      </c>
      <c r="AG52" s="2" t="str">
        <f>IF(AD53="","",AG51+(AG53-AG51)*(AD52-AD51)/(AD53-AD51))</f>
        <v/>
      </c>
      <c r="AH52" s="2" t="str">
        <f>IF(AE53="","",AH51+(AH53-AH51)*(AD52-AD51)/(AD53-AD51))</f>
        <v/>
      </c>
      <c r="AI52" s="2" t="str">
        <f>IF(AF53="","",AI51+(AI53-AI51)*(AD52-AD51)/(AD53-AD51))</f>
        <v/>
      </c>
      <c r="AP52" s="1"/>
      <c r="AQ52" s="3" t="str">
        <f>IF(AP53="","",VLOOKUP(AP51,AP$9:AY$28,7,FALSE))</f>
        <v/>
      </c>
      <c r="AS52" s="2" t="str">
        <f>IF(AP53="","",AS51+(AS53-AS51)*(AQ52-AQ51)/(AQ53-AQ51))</f>
        <v/>
      </c>
      <c r="AT52" s="2" t="str">
        <f>IF(AQ53="","",AT51+(AT53-AT51)*(AQ52-AQ51)/(AQ53-AQ51))</f>
        <v/>
      </c>
      <c r="AU52" s="2" t="str">
        <f>IF(AR53="","",AU51+(AU53-AU51)*(AQ52-AQ51)/(AQ53-AQ51))</f>
        <v/>
      </c>
      <c r="AV52" s="2" t="str">
        <f>IF(AS53="","",AV51+(AV53-AV51)*(AQ52-AQ51)/(AQ53-AQ51))</f>
        <v/>
      </c>
      <c r="BC52" s="1"/>
      <c r="BD52" s="3" t="str">
        <f>IF(BC53="","",VLOOKUP(BC51,BC$9:BL$28,7,FALSE))</f>
        <v/>
      </c>
      <c r="BF52" s="2" t="str">
        <f>IF(BC53="","",BF51+(BF53-BF51)*(BD52-BD51)/(BD53-BD51))</f>
        <v/>
      </c>
      <c r="BG52" s="2" t="str">
        <f>IF(BD53="","",BG51+(BG53-BG51)*(BD52-BD51)/(BD53-BD51))</f>
        <v/>
      </c>
      <c r="BH52" s="2" t="str">
        <f>IF(BE53="","",BH51+(BH53-BH51)*(BD52-BD51)/(BD53-BD51))</f>
        <v/>
      </c>
      <c r="BI52" s="2" t="str">
        <f>IF(BF53="","",BI51+(BI53-BI51)*(BD52-BD51)/(BD53-BD51))</f>
        <v/>
      </c>
      <c r="BP52" s="1"/>
      <c r="BQ52" s="3" t="str">
        <f>IF(BP53="","",VLOOKUP(BP51,BP$9:BY$28,7,FALSE))</f>
        <v/>
      </c>
      <c r="BS52" s="2" t="str">
        <f>IF(BP53="","",BS51+(BS53-BS51)*(BQ52-BQ51)/(BQ53-BQ51))</f>
        <v/>
      </c>
      <c r="BT52" s="2" t="str">
        <f>IF(BQ53="","",BT51+(BT53-BT51)*(BQ52-BQ51)/(BQ53-BQ51))</f>
        <v/>
      </c>
      <c r="BU52" s="2" t="str">
        <f>IF(BR53="","",BU51+(BU53-BU51)*(BQ52-BQ51)/(BQ53-BQ51))</f>
        <v/>
      </c>
      <c r="BV52" s="2" t="str">
        <f>IF(BS53="","",BV51+(BV53-BV51)*(BQ52-BQ51)/(BQ53-BQ51))</f>
        <v/>
      </c>
    </row>
    <row r="53" spans="1:74">
      <c r="B53" s="1" t="str">
        <f>IF(C53="","",B51)</f>
        <v/>
      </c>
      <c r="C53" s="1" t="str">
        <f>IF(C51&lt;$F$1,C51+1,"")</f>
        <v/>
      </c>
      <c r="D53" s="3" t="str">
        <f>IF(C53="","",IF(Dati!$B29="",VLOOKUP(C53,C$9:L$28,6,FALSE),Dati!$B29))</f>
        <v/>
      </c>
      <c r="E53" s="1" t="str">
        <f>IF(C53="","",(C53-1)*Modi!$B$51+2+($F$1-B53))</f>
        <v/>
      </c>
      <c r="F53" s="2" t="str">
        <f>IF(C53="","",INDEX(SPO!$H:$H,E53,1))</f>
        <v/>
      </c>
      <c r="G53" s="2" t="str">
        <f>IF(C53="","",INDEX(SPO!$I:$I,E53,1))</f>
        <v/>
      </c>
      <c r="H53" s="2" t="str">
        <f>IF(C53="","",INDEX(SPO!$J:$J,E53,1))</f>
        <v/>
      </c>
      <c r="I53" s="2" t="str">
        <f>IF(C53="","",INDEX(SPO!$K:$K,E53,1))</f>
        <v/>
      </c>
      <c r="O53" s="1" t="str">
        <f>IF(P53="","",O51)</f>
        <v/>
      </c>
      <c r="P53" s="1" t="str">
        <f>IF(P51&lt;$F$1,P51+1,"")</f>
        <v/>
      </c>
      <c r="Q53" s="3" t="str">
        <f>IF(P53="","",IF(Dati!$B29="",VLOOKUP(P53,P$9:Y$28,6,FALSE),Dati!$B29))</f>
        <v/>
      </c>
      <c r="R53" s="1" t="str">
        <f>IF(P53="","",(P53-1)*Modi!$B$51+2+($F$1-O53))</f>
        <v/>
      </c>
      <c r="S53" s="2" t="str">
        <f>IF(P53="","",INDEX(SPO!$H:$H,R53,1))</f>
        <v/>
      </c>
      <c r="T53" s="2" t="str">
        <f>IF(P53="","",INDEX(SPO!$I:$I,R53,1))</f>
        <v/>
      </c>
      <c r="U53" s="2" t="str">
        <f>IF(P53="","",INDEX(SPO!$J:$J,R53,1))</f>
        <v/>
      </c>
      <c r="V53" s="2" t="str">
        <f>IF(P53="","",INDEX(SPO!$K:$K,R53,1))</f>
        <v/>
      </c>
      <c r="AB53" s="1" t="str">
        <f>IF(AC53="","",AB51)</f>
        <v/>
      </c>
      <c r="AC53" s="1" t="str">
        <f>IF(AC51&lt;$F$1,AC51+1,"")</f>
        <v/>
      </c>
      <c r="AD53" s="3" t="str">
        <f>IF(AC53="","",IF(Dati!$B29="",VLOOKUP(AC53,AC$9:AL$28,6,FALSE),Dati!$B29))</f>
        <v/>
      </c>
      <c r="AE53" s="1" t="str">
        <f>IF(AC53="","",(AC53-1)*Modi!$B$51+2+($F$1-AB53))</f>
        <v/>
      </c>
      <c r="AF53" s="2" t="str">
        <f>IF(AC53="","",INDEX(SPO!$H:$H,AE53,1))</f>
        <v/>
      </c>
      <c r="AG53" s="2" t="str">
        <f>IF(AC53="","",INDEX(SPO!$I:$I,AE53,1))</f>
        <v/>
      </c>
      <c r="AH53" s="2" t="str">
        <f>IF(AC53="","",INDEX(SPO!$J:$J,AE53,1))</f>
        <v/>
      </c>
      <c r="AI53" s="2" t="str">
        <f>IF(AC53="","",INDEX(SPO!$K:$K,AE53,1))</f>
        <v/>
      </c>
      <c r="AO53" s="1" t="str">
        <f>IF(AP53="","",AO51)</f>
        <v/>
      </c>
      <c r="AP53" s="1" t="str">
        <f>IF(AP51&lt;$F$1,AP51+1,"")</f>
        <v/>
      </c>
      <c r="AQ53" s="3" t="str">
        <f>IF(AP53="","",IF(Dati!$B29="",VLOOKUP(AP53,AP$9:AY$28,6,FALSE),Dati!$B29))</f>
        <v/>
      </c>
      <c r="AR53" s="1" t="str">
        <f>IF(AP53="","",(AP53-1)*Modi!$B$51+2+($F$1-AO53))</f>
        <v/>
      </c>
      <c r="AS53" s="2" t="str">
        <f>IF(AP53="","",INDEX(SPO!$H:$H,AR53,1))</f>
        <v/>
      </c>
      <c r="AT53" s="2" t="str">
        <f>IF(AP53="","",INDEX(SPO!$I:$I,AR53,1))</f>
        <v/>
      </c>
      <c r="AU53" s="2" t="str">
        <f>IF(AP53="","",INDEX(SPO!$J:$J,AR53,1))</f>
        <v/>
      </c>
      <c r="AV53" s="2" t="str">
        <f>IF(AP53="","",INDEX(SPO!$K:$K,AR53,1))</f>
        <v/>
      </c>
      <c r="BB53" s="1" t="str">
        <f>IF(BC53="","",BB51)</f>
        <v/>
      </c>
      <c r="BC53" s="1" t="str">
        <f>IF(BC51&lt;$F$1,BC51+1,"")</f>
        <v/>
      </c>
      <c r="BD53" s="3" t="str">
        <f>IF(BC53="","",IF(Dati!$B29="",VLOOKUP(BC53,BC$9:BL$28,6,FALSE),Dati!$B29))</f>
        <v/>
      </c>
      <c r="BE53" s="1" t="str">
        <f>IF(BC53="","",(BC53-1)*Modi!$B$51+2+($F$1-BB53))</f>
        <v/>
      </c>
      <c r="BF53" s="2" t="str">
        <f>IF(BC53="","",INDEX(SPO!$H:$H,BE53,1))</f>
        <v/>
      </c>
      <c r="BG53" s="2" t="str">
        <f>IF(BC53="","",INDEX(SPO!$I:$I,BE53,1))</f>
        <v/>
      </c>
      <c r="BH53" s="2" t="str">
        <f>IF(BC53="","",INDEX(SPO!$J:$J,BE53,1))</f>
        <v/>
      </c>
      <c r="BI53" s="2" t="str">
        <f>IF(BC53="","",INDEX(SPO!$K:$K,BE53,1))</f>
        <v/>
      </c>
      <c r="BO53" s="1" t="str">
        <f>IF(BP53="","",BO51)</f>
        <v/>
      </c>
      <c r="BP53" s="1" t="str">
        <f>IF(BP51&lt;$F$1,BP51+1,"")</f>
        <v/>
      </c>
      <c r="BQ53" s="3" t="str">
        <f>IF(BP53="","",IF(Dati!$B29="",VLOOKUP(BP53,BP$9:BY$28,6,FALSE),Dati!$B29))</f>
        <v/>
      </c>
      <c r="BR53" s="1" t="str">
        <f>IF(BP53="","",(BP53-1)*Modi!$B$51+2+($F$1-BO53))</f>
        <v/>
      </c>
      <c r="BS53" s="2" t="str">
        <f>IF(BP53="","",INDEX(SPO!$H:$H,BR53,1))</f>
        <v/>
      </c>
      <c r="BT53" s="2" t="str">
        <f>IF(BP53="","",INDEX(SPO!$I:$I,BR53,1))</f>
        <v/>
      </c>
      <c r="BU53" s="2" t="str">
        <f>IF(BP53="","",INDEX(SPO!$J:$J,BR53,1))</f>
        <v/>
      </c>
      <c r="BV53" s="2" t="str">
        <f>IF(BP53="","",INDEX(SPO!$K:$K,BR53,1))</f>
        <v/>
      </c>
    </row>
    <row r="54" spans="1:74">
      <c r="A54" s="6" t="s">
        <v>45</v>
      </c>
      <c r="C54" s="1"/>
      <c r="D54" s="3" t="str">
        <f>IF(C55="","",VLOOKUP(C53,C$9:L$28,7,FALSE))</f>
        <v/>
      </c>
      <c r="F54" s="2" t="str">
        <f>IF(C55="","",F53+(F55-F53)*(D54-D53)/(D55-D53))</f>
        <v/>
      </c>
      <c r="G54" s="2" t="str">
        <f>IF(D55="","",G53+(G55-G53)*(D54-D53)/(D55-D53))</f>
        <v/>
      </c>
      <c r="H54" s="2" t="str">
        <f>IF(E55="","",H53+(H55-H53)*(D54-D53)/(D55-D53))</f>
        <v/>
      </c>
      <c r="I54" s="2" t="str">
        <f>IF(F55="","",I53+(I55-I53)*(D54-D53)/(D55-D53))</f>
        <v/>
      </c>
      <c r="N54" s="6" t="s">
        <v>45</v>
      </c>
      <c r="P54" s="1"/>
      <c r="Q54" s="3" t="str">
        <f>IF(P55="","",VLOOKUP(P53,P$9:Y$28,7,FALSE))</f>
        <v/>
      </c>
      <c r="S54" s="2" t="str">
        <f>IF(P55="","",S53+(S55-S53)*(Q54-Q53)/(Q55-Q53))</f>
        <v/>
      </c>
      <c r="T54" s="2" t="str">
        <f>IF(Q55="","",T53+(T55-T53)*(Q54-Q53)/(Q55-Q53))</f>
        <v/>
      </c>
      <c r="U54" s="2" t="str">
        <f>IF(R55="","",U53+(U55-U53)*(Q54-Q53)/(Q55-Q53))</f>
        <v/>
      </c>
      <c r="V54" s="2" t="str">
        <f>IF(S55="","",V53+(V55-V53)*(Q54-Q53)/(Q55-Q53))</f>
        <v/>
      </c>
      <c r="AA54" s="6" t="s">
        <v>45</v>
      </c>
      <c r="AC54" s="1"/>
      <c r="AD54" s="3" t="str">
        <f>IF(AC55="","",VLOOKUP(AC53,AC$9:AL$28,7,FALSE))</f>
        <v/>
      </c>
      <c r="AF54" s="2" t="str">
        <f>IF(AC55="","",AF53+(AF55-AF53)*(AD54-AD53)/(AD55-AD53))</f>
        <v/>
      </c>
      <c r="AG54" s="2" t="str">
        <f>IF(AD55="","",AG53+(AG55-AG53)*(AD54-AD53)/(AD55-AD53))</f>
        <v/>
      </c>
      <c r="AH54" s="2" t="str">
        <f>IF(AE55="","",AH53+(AH55-AH53)*(AD54-AD53)/(AD55-AD53))</f>
        <v/>
      </c>
      <c r="AI54" s="2" t="str">
        <f>IF(AF55="","",AI53+(AI55-AI53)*(AD54-AD53)/(AD55-AD53))</f>
        <v/>
      </c>
      <c r="AN54" s="6" t="s">
        <v>45</v>
      </c>
      <c r="AP54" s="1"/>
      <c r="AQ54" s="3" t="str">
        <f>IF(AP55="","",VLOOKUP(AP53,AP$9:AY$28,7,FALSE))</f>
        <v/>
      </c>
      <c r="AS54" s="2" t="str">
        <f>IF(AP55="","",AS53+(AS55-AS53)*(AQ54-AQ53)/(AQ55-AQ53))</f>
        <v/>
      </c>
      <c r="AT54" s="2" t="str">
        <f>IF(AQ55="","",AT53+(AT55-AT53)*(AQ54-AQ53)/(AQ55-AQ53))</f>
        <v/>
      </c>
      <c r="AU54" s="2" t="str">
        <f>IF(AR55="","",AU53+(AU55-AU53)*(AQ54-AQ53)/(AQ55-AQ53))</f>
        <v/>
      </c>
      <c r="AV54" s="2" t="str">
        <f>IF(AS55="","",AV53+(AV55-AV53)*(AQ54-AQ53)/(AQ55-AQ53))</f>
        <v/>
      </c>
      <c r="BA54" s="6" t="s">
        <v>45</v>
      </c>
      <c r="BC54" s="1"/>
      <c r="BD54" s="3" t="str">
        <f>IF(BC55="","",VLOOKUP(BC53,BC$9:BL$28,7,FALSE))</f>
        <v/>
      </c>
      <c r="BF54" s="2" t="str">
        <f>IF(BC55="","",BF53+(BF55-BF53)*(BD54-BD53)/(BD55-BD53))</f>
        <v/>
      </c>
      <c r="BG54" s="2" t="str">
        <f>IF(BD55="","",BG53+(BG55-BG53)*(BD54-BD53)/(BD55-BD53))</f>
        <v/>
      </c>
      <c r="BH54" s="2" t="str">
        <f>IF(BE55="","",BH53+(BH55-BH53)*(BD54-BD53)/(BD55-BD53))</f>
        <v/>
      </c>
      <c r="BI54" s="2" t="str">
        <f>IF(BF55="","",BI53+(BI55-BI53)*(BD54-BD53)/(BD55-BD53))</f>
        <v/>
      </c>
      <c r="BN54" s="6" t="s">
        <v>45</v>
      </c>
      <c r="BP54" s="1"/>
      <c r="BQ54" s="3" t="str">
        <f>IF(BP55="","",VLOOKUP(BP53,BP$9:BY$28,7,FALSE))</f>
        <v/>
      </c>
      <c r="BS54" s="2" t="str">
        <f>IF(BP55="","",BS53+(BS55-BS53)*(BQ54-BQ53)/(BQ55-BQ53))</f>
        <v/>
      </c>
      <c r="BT54" s="2" t="str">
        <f>IF(BQ55="","",BT53+(BT55-BT53)*(BQ54-BQ53)/(BQ55-BQ53))</f>
        <v/>
      </c>
      <c r="BU54" s="2" t="str">
        <f>IF(BR55="","",BU53+(BU55-BU53)*(BQ54-BQ53)/(BQ55-BQ53))</f>
        <v/>
      </c>
      <c r="BV54" s="2" t="str">
        <f>IF(BS55="","",BV53+(BV55-BV53)*(BQ54-BQ53)/(BQ55-BQ53))</f>
        <v/>
      </c>
    </row>
    <row r="55" spans="1:74">
      <c r="A55" s="6" t="s">
        <v>106</v>
      </c>
      <c r="B55" s="1" t="str">
        <f>IF(C55="","",B53)</f>
        <v/>
      </c>
      <c r="C55" s="13" t="str">
        <f>IF(C53&lt;$F$1,C53+1,"")</f>
        <v/>
      </c>
      <c r="D55" s="42" t="str">
        <f>IF(C55="","",VLOOKUP(C55,C$9:L$28,6,FALSE))</f>
        <v/>
      </c>
      <c r="E55" s="13" t="str">
        <f>IF(C55="","",(C55-1)*Modi!$B$51+2+($F$1-B55))</f>
        <v/>
      </c>
      <c r="F55" s="15" t="str">
        <f>IF(C55="","",INDEX(SPO!$H:$H,E55,1))</f>
        <v/>
      </c>
      <c r="G55" s="15" t="str">
        <f>IF(C55="","",INDEX(SPO!$I:$I,E55,1))</f>
        <v/>
      </c>
      <c r="H55" s="15" t="str">
        <f>IF(C55="","",INDEX(SPO!$J:$J,E55,1))</f>
        <v/>
      </c>
      <c r="I55" s="15" t="str">
        <f>IF(C55="","",INDEX(SPO!$K:$K,E55,1))</f>
        <v/>
      </c>
      <c r="N55" s="6" t="s">
        <v>106</v>
      </c>
      <c r="O55" s="1" t="str">
        <f>IF(P55="","",O53)</f>
        <v/>
      </c>
      <c r="P55" s="13" t="str">
        <f>IF(P53&lt;$F$1,P53+1,"")</f>
        <v/>
      </c>
      <c r="Q55" s="42" t="str">
        <f>IF(P55="","",VLOOKUP(P55,P$9:Y$28,6,FALSE))</f>
        <v/>
      </c>
      <c r="R55" s="13" t="str">
        <f>IF(P55="","",(P55-1)*Modi!$B$51+2+($F$1-O55))</f>
        <v/>
      </c>
      <c r="S55" s="15" t="str">
        <f>IF(P55="","",INDEX(SPO!$H:$H,R55,1))</f>
        <v/>
      </c>
      <c r="T55" s="15" t="str">
        <f>IF(P55="","",INDEX(SPO!$I:$I,R55,1))</f>
        <v/>
      </c>
      <c r="U55" s="15" t="str">
        <f>IF(P55="","",INDEX(SPO!$J:$J,R55,1))</f>
        <v/>
      </c>
      <c r="V55" s="15" t="str">
        <f>IF(P55="","",INDEX(SPO!$K:$K,R55,1))</f>
        <v/>
      </c>
      <c r="AA55" s="6" t="s">
        <v>106</v>
      </c>
      <c r="AB55" s="1" t="str">
        <f>IF(AC55="","",AB53)</f>
        <v/>
      </c>
      <c r="AC55" s="13" t="str">
        <f>IF(AC53&lt;$F$1,AC53+1,"")</f>
        <v/>
      </c>
      <c r="AD55" s="42" t="str">
        <f>IF(AC55="","",VLOOKUP(AC55,AC$9:AL$28,6,FALSE))</f>
        <v/>
      </c>
      <c r="AE55" s="13" t="str">
        <f>IF(AC55="","",(AC55-1)*Modi!$B$51+2+($F$1-AB55))</f>
        <v/>
      </c>
      <c r="AF55" s="15" t="str">
        <f>IF(AC55="","",INDEX(SPO!$H:$H,AE55,1))</f>
        <v/>
      </c>
      <c r="AG55" s="15" t="str">
        <f>IF(AC55="","",INDEX(SPO!$I:$I,AE55,1))</f>
        <v/>
      </c>
      <c r="AH55" s="15" t="str">
        <f>IF(AC55="","",INDEX(SPO!$J:$J,AE55,1))</f>
        <v/>
      </c>
      <c r="AI55" s="15" t="str">
        <f>IF(AC55="","",INDEX(SPO!$K:$K,AE55,1))</f>
        <v/>
      </c>
      <c r="AN55" s="6" t="s">
        <v>106</v>
      </c>
      <c r="AO55" s="1" t="str">
        <f>IF(AP55="","",AO53)</f>
        <v/>
      </c>
      <c r="AP55" s="13" t="str">
        <f>IF(AP53&lt;$F$1,AP53+1,"")</f>
        <v/>
      </c>
      <c r="AQ55" s="42" t="str">
        <f>IF(AP55="","",VLOOKUP(AP55,AP$9:AY$28,6,FALSE))</f>
        <v/>
      </c>
      <c r="AR55" s="13" t="str">
        <f>IF(AP55="","",(AP55-1)*Modi!$B$51+2+($F$1-AO55))</f>
        <v/>
      </c>
      <c r="AS55" s="15" t="str">
        <f>IF(AP55="","",INDEX(SPO!$H:$H,AR55,1))</f>
        <v/>
      </c>
      <c r="AT55" s="15" t="str">
        <f>IF(AP55="","",INDEX(SPO!$I:$I,AR55,1))</f>
        <v/>
      </c>
      <c r="AU55" s="15" t="str">
        <f>IF(AP55="","",INDEX(SPO!$J:$J,AR55,1))</f>
        <v/>
      </c>
      <c r="AV55" s="15" t="str">
        <f>IF(AP55="","",INDEX(SPO!$K:$K,AR55,1))</f>
        <v/>
      </c>
      <c r="BA55" s="6" t="s">
        <v>106</v>
      </c>
      <c r="BB55" s="1" t="str">
        <f>IF(BC55="","",BB53)</f>
        <v/>
      </c>
      <c r="BC55" s="13" t="str">
        <f>IF(BC53&lt;$F$1,BC53+1,"")</f>
        <v/>
      </c>
      <c r="BD55" s="42" t="str">
        <f>IF(BC55="","",VLOOKUP(BC55,BC$9:BL$28,6,FALSE))</f>
        <v/>
      </c>
      <c r="BE55" s="13" t="str">
        <f>IF(BC55="","",(BC55-1)*Modi!$B$51+2+($F$1-BB55))</f>
        <v/>
      </c>
      <c r="BF55" s="15" t="str">
        <f>IF(BC55="","",INDEX(SPO!$H:$H,BE55,1))</f>
        <v/>
      </c>
      <c r="BG55" s="15" t="str">
        <f>IF(BC55="","",INDEX(SPO!$I:$I,BE55,1))</f>
        <v/>
      </c>
      <c r="BH55" s="15" t="str">
        <f>IF(BC55="","",INDEX(SPO!$J:$J,BE55,1))</f>
        <v/>
      </c>
      <c r="BI55" s="15" t="str">
        <f>IF(BC55="","",INDEX(SPO!$K:$K,BE55,1))</f>
        <v/>
      </c>
      <c r="BN55" s="6" t="s">
        <v>106</v>
      </c>
      <c r="BO55" s="1" t="str">
        <f>IF(BP55="","",BO53)</f>
        <v/>
      </c>
      <c r="BP55" s="13" t="str">
        <f>IF(BP53&lt;$F$1,BP53+1,"")</f>
        <v/>
      </c>
      <c r="BQ55" s="42" t="str">
        <f>IF(BP55="","",VLOOKUP(BP55,BP$9:BY$28,6,FALSE))</f>
        <v/>
      </c>
      <c r="BR55" s="13" t="str">
        <f>IF(BP55="","",(BP55-1)*Modi!$B$51+2+($F$1-BO55))</f>
        <v/>
      </c>
      <c r="BS55" s="15" t="str">
        <f>IF(BP55="","",INDEX(SPO!$H:$H,BR55,1))</f>
        <v/>
      </c>
      <c r="BT55" s="15" t="str">
        <f>IF(BP55="","",INDEX(SPO!$I:$I,BR55,1))</f>
        <v/>
      </c>
      <c r="BU55" s="15" t="str">
        <f>IF(BP55="","",INDEX(SPO!$J:$J,BR55,1))</f>
        <v/>
      </c>
      <c r="BV55" s="15" t="str">
        <f>IF(BP55="","",INDEX(SPO!$K:$K,BR55,1))</f>
        <v/>
      </c>
    </row>
    <row r="56" spans="1:74">
      <c r="F56" s="2"/>
      <c r="G56" s="2"/>
      <c r="H56" s="2"/>
      <c r="I56" s="2"/>
      <c r="S56" s="2"/>
      <c r="T56" s="2"/>
      <c r="U56" s="2"/>
      <c r="V56" s="2"/>
      <c r="AF56" s="2"/>
      <c r="AG56" s="2"/>
      <c r="AH56" s="2"/>
      <c r="AI56" s="2"/>
      <c r="AS56" s="2"/>
      <c r="AT56" s="2"/>
      <c r="AU56" s="2"/>
      <c r="AV56" s="2"/>
      <c r="BF56" s="2"/>
      <c r="BG56" s="2"/>
      <c r="BH56" s="2"/>
      <c r="BI56" s="2"/>
      <c r="BS56" s="2"/>
      <c r="BT56" s="2"/>
      <c r="BU56" s="2"/>
      <c r="BV56" s="2"/>
    </row>
    <row r="58" spans="1:74">
      <c r="C58" s="44" t="s">
        <v>100</v>
      </c>
      <c r="P58" s="44" t="s">
        <v>100</v>
      </c>
      <c r="AC58" s="44" t="s">
        <v>100</v>
      </c>
      <c r="AP58" s="44" t="s">
        <v>100</v>
      </c>
      <c r="BC58" s="44" t="s">
        <v>100</v>
      </c>
      <c r="BP58" s="44" t="s">
        <v>100</v>
      </c>
    </row>
    <row r="59" spans="1:74">
      <c r="B59" s="6" t="s">
        <v>4</v>
      </c>
      <c r="C59" s="6" t="s">
        <v>105</v>
      </c>
      <c r="D59" s="6" t="s">
        <v>7</v>
      </c>
      <c r="E59" s="6" t="s">
        <v>18</v>
      </c>
      <c r="F59" s="6" t="s">
        <v>101</v>
      </c>
      <c r="G59" s="6" t="s">
        <v>102</v>
      </c>
      <c r="H59" s="6" t="s">
        <v>103</v>
      </c>
      <c r="I59" s="6" t="s">
        <v>104</v>
      </c>
      <c r="O59" s="6" t="s">
        <v>4</v>
      </c>
      <c r="P59" s="6" t="s">
        <v>105</v>
      </c>
      <c r="Q59" s="6" t="s">
        <v>7</v>
      </c>
      <c r="R59" s="6" t="s">
        <v>18</v>
      </c>
      <c r="S59" s="6" t="s">
        <v>101</v>
      </c>
      <c r="T59" s="6" t="s">
        <v>102</v>
      </c>
      <c r="U59" s="6" t="s">
        <v>103</v>
      </c>
      <c r="V59" s="6" t="s">
        <v>104</v>
      </c>
      <c r="AB59" s="6" t="s">
        <v>4</v>
      </c>
      <c r="AC59" s="6" t="s">
        <v>105</v>
      </c>
      <c r="AD59" s="6" t="s">
        <v>7</v>
      </c>
      <c r="AE59" s="6" t="s">
        <v>18</v>
      </c>
      <c r="AF59" s="6" t="s">
        <v>101</v>
      </c>
      <c r="AG59" s="6" t="s">
        <v>102</v>
      </c>
      <c r="AH59" s="6" t="s">
        <v>103</v>
      </c>
      <c r="AI59" s="6" t="s">
        <v>104</v>
      </c>
      <c r="AO59" s="6" t="s">
        <v>4</v>
      </c>
      <c r="AP59" s="6" t="s">
        <v>105</v>
      </c>
      <c r="AQ59" s="6" t="s">
        <v>7</v>
      </c>
      <c r="AR59" s="6" t="s">
        <v>18</v>
      </c>
      <c r="AS59" s="6" t="s">
        <v>101</v>
      </c>
      <c r="AT59" s="6" t="s">
        <v>102</v>
      </c>
      <c r="AU59" s="6" t="s">
        <v>103</v>
      </c>
      <c r="AV59" s="6" t="s">
        <v>104</v>
      </c>
      <c r="BB59" s="6" t="s">
        <v>4</v>
      </c>
      <c r="BC59" s="6" t="s">
        <v>105</v>
      </c>
      <c r="BD59" s="6" t="s">
        <v>7</v>
      </c>
      <c r="BE59" s="6" t="s">
        <v>18</v>
      </c>
      <c r="BF59" s="6" t="s">
        <v>101</v>
      </c>
      <c r="BG59" s="6" t="s">
        <v>102</v>
      </c>
      <c r="BH59" s="6" t="s">
        <v>103</v>
      </c>
      <c r="BI59" s="6" t="s">
        <v>104</v>
      </c>
      <c r="BO59" s="6" t="s">
        <v>4</v>
      </c>
      <c r="BP59" s="6" t="s">
        <v>105</v>
      </c>
      <c r="BQ59" s="6" t="s">
        <v>7</v>
      </c>
      <c r="BR59" s="6" t="s">
        <v>18</v>
      </c>
      <c r="BS59" s="6" t="s">
        <v>101</v>
      </c>
      <c r="BT59" s="6" t="s">
        <v>102</v>
      </c>
      <c r="BU59" s="6" t="s">
        <v>103</v>
      </c>
      <c r="BV59" s="6" t="s">
        <v>104</v>
      </c>
    </row>
    <row r="60" spans="1:74">
      <c r="B60" s="1">
        <f>B33</f>
        <v>5</v>
      </c>
      <c r="C60" s="1">
        <v>1</v>
      </c>
      <c r="D60" s="3">
        <f>IF(C60="","",IF(Dati!$F19="",VLOOKUP(C60+$F$1,C$9:L$28,9,FALSE),Dati!$F19))</f>
        <v>0.15</v>
      </c>
      <c r="E60" s="1">
        <f>IF(C60="","",(C60-1+$F$1)*Modi!$B$51+2+($F$1-B60))</f>
        <v>27</v>
      </c>
      <c r="F60" s="2">
        <f>IF(C60="","",INDEX(SPO!$H:$H,E60,1))</f>
        <v>-1.2529999999999999</v>
      </c>
      <c r="G60" s="2">
        <f>IF(C60="","",INDEX(SPO!$I:$I,E60,1))</f>
        <v>8.3659999999999997</v>
      </c>
      <c r="H60" s="2">
        <f>IF(C60="","",INDEX(SPO!$J:$J,E60,1))</f>
        <v>-1.105</v>
      </c>
      <c r="I60" s="2">
        <f>IF(C60="","",INDEX(SPO!$K:$K,E60,1))</f>
        <v>-1.6259999999999999</v>
      </c>
      <c r="O60" s="1">
        <f>O33</f>
        <v>4</v>
      </c>
      <c r="P60" s="1">
        <v>1</v>
      </c>
      <c r="Q60" s="3">
        <f>IF(P60="","",IF(Dati!$F19="",VLOOKUP(P60+$F$1,P$9:Y$28,9,FALSE),Dati!$F19))</f>
        <v>0.15</v>
      </c>
      <c r="R60" s="1">
        <f>IF(P60="","",(P60-1+$F$1)*Modi!$B$51+2+($F$1-O60))</f>
        <v>28</v>
      </c>
      <c r="S60" s="2">
        <f>IF(P60="","",INDEX(SPO!$H:$H,R60,1))</f>
        <v>-1.1539999999999999</v>
      </c>
      <c r="T60" s="2">
        <f>IF(P60="","",INDEX(SPO!$I:$I,R60,1))</f>
        <v>7.4880000000000004</v>
      </c>
      <c r="U60" s="2">
        <f>IF(P60="","",INDEX(SPO!$J:$J,R60,1))</f>
        <v>-0.97699999999999998</v>
      </c>
      <c r="V60" s="2">
        <f>IF(P60="","",INDEX(SPO!$K:$K,R60,1))</f>
        <v>-1.4379999999999999</v>
      </c>
      <c r="AB60" s="1">
        <f>AB33</f>
        <v>3</v>
      </c>
      <c r="AC60" s="1">
        <v>1</v>
      </c>
      <c r="AD60" s="3">
        <f>IF(AC60="","",IF(Dati!$F19="",VLOOKUP(AC60+$F$1,AC$9:AL$28,9,FALSE),Dati!$F19))</f>
        <v>0.15</v>
      </c>
      <c r="AE60" s="1">
        <f>IF(AC60="","",(AC60-1+$F$1)*Modi!$B$51+2+($F$1-AB60))</f>
        <v>29</v>
      </c>
      <c r="AF60" s="2">
        <f>IF(AC60="","",INDEX(SPO!$H:$H,AE60,1))</f>
        <v>-0.96799999999999997</v>
      </c>
      <c r="AG60" s="2">
        <f>IF(AC60="","",INDEX(SPO!$I:$I,AE60,1))</f>
        <v>6.1</v>
      </c>
      <c r="AH60" s="2">
        <f>IF(AC60="","",INDEX(SPO!$J:$J,AE60,1))</f>
        <v>-0.78500000000000003</v>
      </c>
      <c r="AI60" s="2">
        <f>IF(AC60="","",INDEX(SPO!$K:$K,AE60,1))</f>
        <v>-1.155</v>
      </c>
      <c r="AO60" s="1">
        <f>AO33</f>
        <v>2</v>
      </c>
      <c r="AP60" s="1">
        <v>1</v>
      </c>
      <c r="AQ60" s="3">
        <f>IF(AP60="","",IF(Dati!$F19="",VLOOKUP(AP60+$F$1,AP$9:AY$28,9,FALSE),Dati!$F19))</f>
        <v>0.15</v>
      </c>
      <c r="AR60" s="1">
        <f>IF(AP60="","",(AP60-1+$F$1)*Modi!$B$51+2+($F$1-AO60))</f>
        <v>30</v>
      </c>
      <c r="AS60" s="2">
        <f>IF(AP60="","",INDEX(SPO!$H:$H,AR60,1))</f>
        <v>-0.69699999999999995</v>
      </c>
      <c r="AT60" s="2">
        <f>IF(AP60="","",INDEX(SPO!$I:$I,AR60,1))</f>
        <v>4.2240000000000002</v>
      </c>
      <c r="AU60" s="2">
        <f>IF(AP60="","",INDEX(SPO!$J:$J,AR60,1))</f>
        <v>-0.53400000000000003</v>
      </c>
      <c r="AV60" s="2">
        <f>IF(AP60="","",INDEX(SPO!$K:$K,AR60,1))</f>
        <v>-0.78600000000000003</v>
      </c>
      <c r="BB60" s="1">
        <f>BB33</f>
        <v>1</v>
      </c>
      <c r="BC60" s="1">
        <v>1</v>
      </c>
      <c r="BD60" s="3">
        <f>IF(BC60="","",IF(Dati!$F19="",VLOOKUP(BC60+$F$1,BC$9:BL$28,9,FALSE),Dati!$F19))</f>
        <v>0.15</v>
      </c>
      <c r="BE60" s="1">
        <f>IF(BC60="","",(BC60-1+$F$1)*Modi!$B$51+2+($F$1-BB60))</f>
        <v>31</v>
      </c>
      <c r="BF60" s="2">
        <f>IF(BC60="","",INDEX(SPO!$H:$H,BE60,1))</f>
        <v>-0.36</v>
      </c>
      <c r="BG60" s="2">
        <f>IF(BC60="","",INDEX(SPO!$I:$I,BE60,1))</f>
        <v>2.0350000000000001</v>
      </c>
      <c r="BH60" s="2">
        <f>IF(BC60="","",INDEX(SPO!$J:$J,BE60,1))</f>
        <v>-0.251</v>
      </c>
      <c r="BI60" s="2">
        <f>IF(BC60="","",INDEX(SPO!$K:$K,BE60,1))</f>
        <v>-0.36899999999999999</v>
      </c>
      <c r="BO60" s="1">
        <f>BO33</f>
        <v>1</v>
      </c>
      <c r="BP60" s="1">
        <v>1</v>
      </c>
      <c r="BQ60" s="3">
        <f>IF(BP60="","",IF(Dati!$F19="",VLOOKUP(BP60+$F$1,BP$9:BY$28,9,FALSE),Dati!$F19))</f>
        <v>0.15</v>
      </c>
      <c r="BR60" s="1">
        <f>IF(BP60="","",(BP60-1+$F$1)*Modi!$B$51+2+($F$1-BO60))</f>
        <v>31</v>
      </c>
      <c r="BS60" s="2">
        <f>IF(BP60="","",INDEX(SPO!$H:$H,BR60,1))</f>
        <v>-0.36</v>
      </c>
      <c r="BT60" s="2">
        <f>IF(BP60="","",INDEX(SPO!$I:$I,BR60,1))</f>
        <v>2.0350000000000001</v>
      </c>
      <c r="BU60" s="2">
        <f>IF(BP60="","",INDEX(SPO!$J:$J,BR60,1))</f>
        <v>-0.251</v>
      </c>
      <c r="BV60" s="2">
        <f>IF(BP60="","",INDEX(SPO!$K:$K,BR60,1))</f>
        <v>-0.36899999999999999</v>
      </c>
    </row>
    <row r="61" spans="1:74">
      <c r="C61" s="3"/>
      <c r="D61" s="3">
        <f>IF(C62="","",VLOOKUP(C60+$F$1,C$9:L$28,10,FALSE))</f>
        <v>2.5</v>
      </c>
      <c r="F61" s="2">
        <f>IF(C62="","",F60+(F62-F60)*(D61-D60)/(D62-D60))</f>
        <v>-1.18</v>
      </c>
      <c r="G61" s="2">
        <f>IF(D62="","",G60+(G62-G60)*(D61-D60)/(D62-D60))</f>
        <v>8.4429999999999996</v>
      </c>
      <c r="H61" s="2">
        <f>IF(E62="","",H60+(H62-H60)*(D61-D60)/(D62-D60))</f>
        <v>-0.78899999999999992</v>
      </c>
      <c r="I61" s="2">
        <f>IF(F62="","",I60+(I62-I60)*(D61-D60)/(D62-D60))</f>
        <v>-1.1604999999999999</v>
      </c>
      <c r="P61" s="3"/>
      <c r="Q61" s="3">
        <f>IF(P62="","",VLOOKUP(P60+$F$1,P$9:Y$28,10,FALSE))</f>
        <v>2.5</v>
      </c>
      <c r="S61" s="2">
        <f>IF(P62="","",S60+(S62-S60)*(Q61-Q60)/(Q62-Q60))</f>
        <v>-1.0779999999999998</v>
      </c>
      <c r="T61" s="2">
        <f>IF(Q62="","",T60+(T62-T60)*(Q61-Q60)/(Q62-Q60))</f>
        <v>7.5445000000000002</v>
      </c>
      <c r="U61" s="2">
        <f>IF(R62="","",U60+(U62-U60)*(Q61-Q60)/(Q62-Q60))</f>
        <v>-0.69950000000000001</v>
      </c>
      <c r="V61" s="2">
        <f>IF(S62="","",V60+(V62-V60)*(Q61-Q60)/(Q62-Q60))</f>
        <v>-1.0289999999999999</v>
      </c>
      <c r="AC61" s="3"/>
      <c r="AD61" s="3">
        <f>IF(AC62="","",VLOOKUP(AC60+$F$1,AC$9:AL$28,10,FALSE))</f>
        <v>2.5</v>
      </c>
      <c r="AF61" s="2">
        <f>IF(AC62="","",AF60+(AF62-AF60)*(AD61-AD60)/(AD62-AD60))</f>
        <v>-0.89649999999999996</v>
      </c>
      <c r="AG61" s="2">
        <f>IF(AD62="","",AG60+(AG62-AG60)*(AD61-AD60)/(AD62-AD60))</f>
        <v>6.1334999999999997</v>
      </c>
      <c r="AH61" s="2">
        <f>IF(AE62="","",AH60+(AH62-AH60)*(AD61-AD60)/(AD62-AD60))</f>
        <v>-0.5635</v>
      </c>
      <c r="AI61" s="2">
        <f>IF(AF62="","",AI60+(AI62-AI60)*(AD61-AD60)/(AD62-AD60))</f>
        <v>-0.82899999999999996</v>
      </c>
      <c r="AP61" s="3"/>
      <c r="AQ61" s="3">
        <f>IF(AP62="","",VLOOKUP(AP60+$F$1,AP$9:AY$28,10,FALSE))</f>
        <v>2.5</v>
      </c>
      <c r="AS61" s="2">
        <f>IF(AP62="","",AS60+(AS62-AS60)*(AQ61-AQ60)/(AQ62-AQ60))</f>
        <v>-0.63849999999999996</v>
      </c>
      <c r="AT61" s="2">
        <f>IF(AQ62="","",AT60+(AT62-AT60)*(AQ61-AQ60)/(AQ62-AQ60))</f>
        <v>4.234</v>
      </c>
      <c r="AU61" s="2">
        <f>IF(AR62="","",AU60+(AU62-AU60)*(AQ61-AQ60)/(AQ62-AQ60))</f>
        <v>-0.38549999999999995</v>
      </c>
      <c r="AV61" s="2">
        <f>IF(AS62="","",AV60+(AV62-AV60)*(AQ61-AQ60)/(AQ62-AQ60))</f>
        <v>-0.56699999999999995</v>
      </c>
      <c r="BC61" s="3"/>
      <c r="BD61" s="3">
        <f>IF(BC62="","",VLOOKUP(BC60+$F$1,BC$9:BL$28,10,FALSE))</f>
        <v>2.5</v>
      </c>
      <c r="BF61" s="2">
        <f>IF(BC62="","",BF60+(BF62-BF60)*(BD61-BD60)/(BD62-BD60))</f>
        <v>-0.32449999999999996</v>
      </c>
      <c r="BG61" s="2">
        <f>IF(BD62="","",BG60+(BG62-BG60)*(BD61-BD60)/(BD62-BD60))</f>
        <v>2.0270000000000001</v>
      </c>
      <c r="BH61" s="2">
        <f>IF(BE62="","",BH60+(BH62-BH60)*(BD61-BD60)/(BD62-BD60))</f>
        <v>-0.183</v>
      </c>
      <c r="BI61" s="2">
        <f>IF(BF62="","",BI60+(BI62-BI60)*(BD61-BD60)/(BD62-BD60))</f>
        <v>-0.26900000000000002</v>
      </c>
      <c r="BP61" s="3"/>
      <c r="BQ61" s="3">
        <f>IF(BP62="","",VLOOKUP(BP60+$F$1,BP$9:BY$28,10,FALSE))</f>
        <v>2.5</v>
      </c>
      <c r="BS61" s="2">
        <f>IF(BP62="","",BS60+(BS62-BS60)*(BQ61-BQ60)/(BQ62-BQ60))</f>
        <v>-0.32449999999999996</v>
      </c>
      <c r="BT61" s="2">
        <f>IF(BQ62="","",BT60+(BT62-BT60)*(BQ61-BQ60)/(BQ62-BQ60))</f>
        <v>2.0270000000000001</v>
      </c>
      <c r="BU61" s="2">
        <f>IF(BR62="","",BU60+(BU62-BU60)*(BQ61-BQ60)/(BQ62-BQ60))</f>
        <v>-0.183</v>
      </c>
      <c r="BV61" s="2">
        <f>IF(BS62="","",BV60+(BV62-BV60)*(BQ61-BQ60)/(BQ62-BQ60))</f>
        <v>-0.26900000000000002</v>
      </c>
    </row>
    <row r="62" spans="1:74">
      <c r="B62" s="1">
        <f>IF(C62="","",B60)</f>
        <v>5</v>
      </c>
      <c r="C62" s="1">
        <f>IF(C60&lt;$I$1,C60+1,"")</f>
        <v>2</v>
      </c>
      <c r="D62" s="3">
        <f>IF(C62="","",IF(Dati!$F20="",VLOOKUP(C62+$F$1,C$9:L$28,9,FALSE),Dati!$F20))</f>
        <v>4.8499999999999996</v>
      </c>
      <c r="E62" s="1">
        <f>IF(C62="","",(C62-1+$F$1)*Modi!$B$51+2+($F$1-B62))</f>
        <v>32</v>
      </c>
      <c r="F62" s="2">
        <f>IF(C62="","",INDEX(SPO!$H:$H,E62,1))</f>
        <v>-1.107</v>
      </c>
      <c r="G62" s="2">
        <f>IF(C62="","",INDEX(SPO!$I:$I,E62,1))</f>
        <v>8.52</v>
      </c>
      <c r="H62" s="2">
        <f>IF(C62="","",INDEX(SPO!$J:$J,E62,1))</f>
        <v>-0.47299999999999998</v>
      </c>
      <c r="I62" s="2">
        <f>IF(C62="","",INDEX(SPO!$K:$K,E62,1))</f>
        <v>-0.69499999999999995</v>
      </c>
      <c r="O62" s="1">
        <f>IF(P62="","",O60)</f>
        <v>4</v>
      </c>
      <c r="P62" s="1">
        <f>IF(P60&lt;$I$1,P60+1,"")</f>
        <v>2</v>
      </c>
      <c r="Q62" s="3">
        <f>IF(P62="","",IF(Dati!$F20="",VLOOKUP(P62+$F$1,P$9:Y$28,9,FALSE),Dati!$F20))</f>
        <v>4.8499999999999996</v>
      </c>
      <c r="R62" s="1">
        <f>IF(P62="","",(P62-1+$F$1)*Modi!$B$51+2+($F$1-O62))</f>
        <v>33</v>
      </c>
      <c r="S62" s="2">
        <f>IF(P62="","",INDEX(SPO!$H:$H,R62,1))</f>
        <v>-1.002</v>
      </c>
      <c r="T62" s="2">
        <f>IF(P62="","",INDEX(SPO!$I:$I,R62,1))</f>
        <v>7.601</v>
      </c>
      <c r="U62" s="2">
        <f>IF(P62="","",INDEX(SPO!$J:$J,R62,1))</f>
        <v>-0.42199999999999999</v>
      </c>
      <c r="V62" s="2">
        <f>IF(P62="","",INDEX(SPO!$K:$K,R62,1))</f>
        <v>-0.62</v>
      </c>
      <c r="AB62" s="1">
        <f>IF(AC62="","",AB60)</f>
        <v>3</v>
      </c>
      <c r="AC62" s="1">
        <f>IF(AC60&lt;$I$1,AC60+1,"")</f>
        <v>2</v>
      </c>
      <c r="AD62" s="3">
        <f>IF(AC62="","",IF(Dati!$F20="",VLOOKUP(AC62+$F$1,AC$9:AL$28,9,FALSE),Dati!$F20))</f>
        <v>4.8499999999999996</v>
      </c>
      <c r="AE62" s="1">
        <f>IF(AC62="","",(AC62-1+$F$1)*Modi!$B$51+2+($F$1-AB62))</f>
        <v>34</v>
      </c>
      <c r="AF62" s="2">
        <f>IF(AC62="","",INDEX(SPO!$H:$H,AE62,1))</f>
        <v>-0.82499999999999996</v>
      </c>
      <c r="AG62" s="2">
        <f>IF(AC62="","",INDEX(SPO!$I:$I,AE62,1))</f>
        <v>6.1669999999999998</v>
      </c>
      <c r="AH62" s="2">
        <f>IF(AC62="","",INDEX(SPO!$J:$J,AE62,1))</f>
        <v>-0.34200000000000003</v>
      </c>
      <c r="AI62" s="2">
        <f>IF(AC62="","",INDEX(SPO!$K:$K,AE62,1))</f>
        <v>-0.503</v>
      </c>
      <c r="AO62" s="1">
        <f>IF(AP62="","",AO60)</f>
        <v>2</v>
      </c>
      <c r="AP62" s="1">
        <f>IF(AP60&lt;$I$1,AP60+1,"")</f>
        <v>2</v>
      </c>
      <c r="AQ62" s="3">
        <f>IF(AP62="","",IF(Dati!$F20="",VLOOKUP(AP62+$F$1,AP$9:AY$28,9,FALSE),Dati!$F20))</f>
        <v>4.8499999999999996</v>
      </c>
      <c r="AR62" s="1">
        <f>IF(AP62="","",(AP62-1+$F$1)*Modi!$B$51+2+($F$1-AO62))</f>
        <v>35</v>
      </c>
      <c r="AS62" s="2">
        <f>IF(AP62="","",INDEX(SPO!$H:$H,AR62,1))</f>
        <v>-0.57999999999999996</v>
      </c>
      <c r="AT62" s="2">
        <f>IF(AP62="","",INDEX(SPO!$I:$I,AR62,1))</f>
        <v>4.2439999999999998</v>
      </c>
      <c r="AU62" s="2">
        <f>IF(AP62="","",INDEX(SPO!$J:$J,AR62,1))</f>
        <v>-0.23699999999999999</v>
      </c>
      <c r="AV62" s="2">
        <f>IF(AP62="","",INDEX(SPO!$K:$K,AR62,1))</f>
        <v>-0.34799999999999998</v>
      </c>
      <c r="BB62" s="1">
        <f>IF(BC62="","",BB60)</f>
        <v>1</v>
      </c>
      <c r="BC62" s="1">
        <f>IF(BC60&lt;$I$1,BC60+1,"")</f>
        <v>2</v>
      </c>
      <c r="BD62" s="3">
        <f>IF(BC62="","",IF(Dati!$F20="",VLOOKUP(BC62+$F$1,BC$9:BL$28,9,FALSE),Dati!$F20))</f>
        <v>4.8499999999999996</v>
      </c>
      <c r="BE62" s="1">
        <f>IF(BC62="","",(BC62-1+$F$1)*Modi!$B$51+2+($F$1-BB62))</f>
        <v>36</v>
      </c>
      <c r="BF62" s="2">
        <f>IF(BC62="","",INDEX(SPO!$H:$H,BE62,1))</f>
        <v>-0.28899999999999998</v>
      </c>
      <c r="BG62" s="2">
        <f>IF(BC62="","",INDEX(SPO!$I:$I,BE62,1))</f>
        <v>2.0190000000000001</v>
      </c>
      <c r="BH62" s="2">
        <f>IF(BC62="","",INDEX(SPO!$J:$J,BE62,1))</f>
        <v>-0.115</v>
      </c>
      <c r="BI62" s="2">
        <f>IF(BC62="","",INDEX(SPO!$K:$K,BE62,1))</f>
        <v>-0.16900000000000001</v>
      </c>
      <c r="BO62" s="1">
        <f>IF(BP62="","",BO60)</f>
        <v>1</v>
      </c>
      <c r="BP62" s="1">
        <f>IF(BP60&lt;$I$1,BP60+1,"")</f>
        <v>2</v>
      </c>
      <c r="BQ62" s="3">
        <f>IF(BP62="","",IF(Dati!$F20="",VLOOKUP(BP62+$F$1,BP$9:BY$28,9,FALSE),Dati!$F20))</f>
        <v>4.8499999999999996</v>
      </c>
      <c r="BR62" s="1">
        <f>IF(BP62="","",(BP62-1+$F$1)*Modi!$B$51+2+($F$1-BO62))</f>
        <v>36</v>
      </c>
      <c r="BS62" s="2">
        <f>IF(BP62="","",INDEX(SPO!$H:$H,BR62,1))</f>
        <v>-0.28899999999999998</v>
      </c>
      <c r="BT62" s="2">
        <f>IF(BP62="","",INDEX(SPO!$I:$I,BR62,1))</f>
        <v>2.0190000000000001</v>
      </c>
      <c r="BU62" s="2">
        <f>IF(BP62="","",INDEX(SPO!$J:$J,BR62,1))</f>
        <v>-0.115</v>
      </c>
      <c r="BV62" s="2">
        <f>IF(BP62="","",INDEX(SPO!$K:$K,BR62,1))</f>
        <v>-0.16900000000000001</v>
      </c>
    </row>
    <row r="63" spans="1:74">
      <c r="C63" s="3"/>
      <c r="D63" s="3">
        <f>IF(C64="","",VLOOKUP(C62+$F$1,C$9:L$28,10,FALSE))</f>
        <v>6.75</v>
      </c>
      <c r="F63" s="2">
        <f>IF(C64="","",F62+(F64-F62)*(D63-D62)/(D64-D62))</f>
        <v>-1.1179999999999999</v>
      </c>
      <c r="G63" s="2">
        <f>IF(D64="","",G62+(G64-G62)*(D63-D62)/(D64-D62))</f>
        <v>9.1654999999999998</v>
      </c>
      <c r="H63" s="2">
        <f>IF(E64="","",H62+(H64-H62)*(D63-D62)/(D64-D62))</f>
        <v>-0.21699999999999997</v>
      </c>
      <c r="I63" s="2">
        <f>IF(F64="","",I62+(I64-I62)*(D63-D62)/(D64-D62))</f>
        <v>-0.31899999999999995</v>
      </c>
      <c r="P63" s="3"/>
      <c r="Q63" s="3">
        <f>IF(P64="","",VLOOKUP(P62+$F$1,P$9:Y$28,10,FALSE))</f>
        <v>6.75</v>
      </c>
      <c r="S63" s="2">
        <f>IF(P64="","",S62+(S64-S62)*(Q63-Q62)/(Q64-Q62))</f>
        <v>-1.0024999999999999</v>
      </c>
      <c r="T63" s="2">
        <f>IF(Q64="","",T62+(T64-T62)*(Q63-Q62)/(Q64-Q62))</f>
        <v>8.1564999999999994</v>
      </c>
      <c r="U63" s="2">
        <f>IF(R64="","",U62+(U64-U62)*(Q63-Q62)/(Q64-Q62))</f>
        <v>-0.19699999999999998</v>
      </c>
      <c r="V63" s="2">
        <f>IF(S64="","",V62+(V64-V62)*(Q63-Q62)/(Q64-Q62))</f>
        <v>-0.28949999999999998</v>
      </c>
      <c r="AC63" s="3"/>
      <c r="AD63" s="3">
        <f>IF(AC64="","",VLOOKUP(AC62+$F$1,AC$9:AL$28,10,FALSE))</f>
        <v>6.75</v>
      </c>
      <c r="AF63" s="2">
        <f>IF(AC64="","",AF62+(AF64-AF62)*(AD63-AD62)/(AD64-AD62))</f>
        <v>-0.8175</v>
      </c>
      <c r="AG63" s="2">
        <f>IF(AD64="","",AG62+(AG64-AG62)*(AD63-AD62)/(AD64-AD62))</f>
        <v>6.5979999999999999</v>
      </c>
      <c r="AH63" s="2">
        <f>IF(AE64="","",AH62+(AH64-AH62)*(AD63-AD62)/(AD64-AD62))</f>
        <v>-0.16300000000000001</v>
      </c>
      <c r="AI63" s="2">
        <f>IF(AF64="","",AI62+(AI64-AI62)*(AD63-AD62)/(AD64-AD62))</f>
        <v>-0.24</v>
      </c>
      <c r="AP63" s="3"/>
      <c r="AQ63" s="3">
        <f>IF(AP64="","",VLOOKUP(AP62+$F$1,AP$9:AY$28,10,FALSE))</f>
        <v>6.75</v>
      </c>
      <c r="AS63" s="2">
        <f>IF(AP64="","",AS62+(AS64-AS62)*(AQ63-AQ62)/(AQ64-AQ62))</f>
        <v>-0.5665</v>
      </c>
      <c r="AT63" s="2">
        <f>IF(AQ64="","",AT62+(AT64-AT62)*(AQ63-AQ62)/(AQ64-AQ62))</f>
        <v>4.5175000000000001</v>
      </c>
      <c r="AU63" s="2">
        <f>IF(AR64="","",AU62+(AU64-AU62)*(AQ63-AQ62)/(AQ64-AQ62))</f>
        <v>-0.11649999999999999</v>
      </c>
      <c r="AV63" s="2">
        <f>IF(AS64="","",AV62+(AV64-AV62)*(AQ63-AQ62)/(AQ64-AQ62))</f>
        <v>-0.17099999999999999</v>
      </c>
      <c r="BC63" s="3"/>
      <c r="BD63" s="3">
        <f>IF(BC64="","",VLOOKUP(BC62+$F$1,BC$9:BL$28,10,FALSE))</f>
        <v>6.75</v>
      </c>
      <c r="BF63" s="2">
        <f>IF(BC64="","",BF62+(BF64-BF62)*(BD63-BD62)/(BD64-BD62))</f>
        <v>-0.27500000000000002</v>
      </c>
      <c r="BG63" s="2">
        <f>IF(BD64="","",BG62+(BG64-BG62)*(BD63-BD62)/(BD64-BD62))</f>
        <v>2.1265000000000001</v>
      </c>
      <c r="BH63" s="2">
        <f>IF(BE64="","",BH62+(BH64-BH62)*(BD63-BD62)/(BD64-BD62))</f>
        <v>-6.0000000000000005E-2</v>
      </c>
      <c r="BI63" s="2">
        <f>IF(BF64="","",BI62+(BI64-BI62)*(BD63-BD62)/(BD64-BD62))</f>
        <v>-8.8500000000000009E-2</v>
      </c>
      <c r="BP63" s="3"/>
      <c r="BQ63" s="3">
        <f>IF(BP64="","",VLOOKUP(BP62+$F$1,BP$9:BY$28,10,FALSE))</f>
        <v>6.75</v>
      </c>
      <c r="BS63" s="2">
        <f>IF(BP64="","",BS62+(BS64-BS62)*(BQ63-BQ62)/(BQ64-BQ62))</f>
        <v>-0.27500000000000002</v>
      </c>
      <c r="BT63" s="2">
        <f>IF(BQ64="","",BT62+(BT64-BT62)*(BQ63-BQ62)/(BQ64-BQ62))</f>
        <v>2.1265000000000001</v>
      </c>
      <c r="BU63" s="2">
        <f>IF(BR64="","",BU62+(BU64-BU62)*(BQ63-BQ62)/(BQ64-BQ62))</f>
        <v>-6.0000000000000005E-2</v>
      </c>
      <c r="BV63" s="2">
        <f>IF(BS64="","",BV62+(BV64-BV62)*(BQ63-BQ62)/(BQ64-BQ62))</f>
        <v>-8.8500000000000009E-2</v>
      </c>
    </row>
    <row r="64" spans="1:74">
      <c r="B64" s="1">
        <f>IF(C64="","",B62)</f>
        <v>5</v>
      </c>
      <c r="C64" s="1">
        <f t="shared" ref="C64" si="45">IF(C62&lt;$I$1,C62+1,"")</f>
        <v>3</v>
      </c>
      <c r="D64" s="3">
        <f>IF(C64="","",IF(Dati!$F21="",VLOOKUP(C64+$F$1,C$9:L$28,9,FALSE),Dati!$F21))</f>
        <v>8.65</v>
      </c>
      <c r="E64" s="1">
        <f>IF(C64="","",(C64-1+$F$1)*Modi!$B$51+2+($F$1-B64))</f>
        <v>37</v>
      </c>
      <c r="F64" s="2">
        <f>IF(C64="","",INDEX(SPO!$H:$H,E64,1))</f>
        <v>-1.129</v>
      </c>
      <c r="G64" s="2">
        <f>IF(C64="","",INDEX(SPO!$I:$I,E64,1))</f>
        <v>9.8109999999999999</v>
      </c>
      <c r="H64" s="2">
        <f>IF(C64="","",INDEX(SPO!$J:$J,E64,1))</f>
        <v>3.9E-2</v>
      </c>
      <c r="I64" s="2">
        <f>IF(C64="","",INDEX(SPO!$K:$K,E64,1))</f>
        <v>5.7000000000000002E-2</v>
      </c>
      <c r="O64" s="1">
        <f>IF(P64="","",O62)</f>
        <v>4</v>
      </c>
      <c r="P64" s="1">
        <f t="shared" ref="P64" si="46">IF(P62&lt;$I$1,P62+1,"")</f>
        <v>3</v>
      </c>
      <c r="Q64" s="3">
        <f>IF(P64="","",IF(Dati!$F21="",VLOOKUP(P64+$F$1,P$9:Y$28,9,FALSE),Dati!$F21))</f>
        <v>8.65</v>
      </c>
      <c r="R64" s="1">
        <f>IF(P64="","",(P64-1+$F$1)*Modi!$B$51+2+($F$1-O64))</f>
        <v>38</v>
      </c>
      <c r="S64" s="2">
        <f>IF(P64="","",INDEX(SPO!$H:$H,R64,1))</f>
        <v>-1.0029999999999999</v>
      </c>
      <c r="T64" s="2">
        <f>IF(P64="","",INDEX(SPO!$I:$I,R64,1))</f>
        <v>8.7119999999999997</v>
      </c>
      <c r="U64" s="2">
        <f>IF(P64="","",INDEX(SPO!$J:$J,R64,1))</f>
        <v>2.8000000000000001E-2</v>
      </c>
      <c r="V64" s="2">
        <f>IF(P64="","",INDEX(SPO!$K:$K,R64,1))</f>
        <v>4.1000000000000002E-2</v>
      </c>
      <c r="AB64" s="1">
        <f>IF(AC64="","",AB62)</f>
        <v>3</v>
      </c>
      <c r="AC64" s="1">
        <f t="shared" ref="AC64" si="47">IF(AC62&lt;$I$1,AC62+1,"")</f>
        <v>3</v>
      </c>
      <c r="AD64" s="3">
        <f>IF(AC64="","",IF(Dati!$F21="",VLOOKUP(AC64+$F$1,AC$9:AL$28,9,FALSE),Dati!$F21))</f>
        <v>8.65</v>
      </c>
      <c r="AE64" s="1">
        <f>IF(AC64="","",(AC64-1+$F$1)*Modi!$B$51+2+($F$1-AB64))</f>
        <v>39</v>
      </c>
      <c r="AF64" s="2">
        <f>IF(AC64="","",INDEX(SPO!$H:$H,AE64,1))</f>
        <v>-0.81</v>
      </c>
      <c r="AG64" s="2">
        <f>IF(AC64="","",INDEX(SPO!$I:$I,AE64,1))</f>
        <v>7.0289999999999999</v>
      </c>
      <c r="AH64" s="2">
        <f>IF(AC64="","",INDEX(SPO!$J:$J,AE64,1))</f>
        <v>1.6E-2</v>
      </c>
      <c r="AI64" s="2">
        <f>IF(AC64="","",INDEX(SPO!$K:$K,AE64,1))</f>
        <v>2.3E-2</v>
      </c>
      <c r="AO64" s="1">
        <f>IF(AP64="","",AO62)</f>
        <v>2</v>
      </c>
      <c r="AP64" s="1">
        <f t="shared" ref="AP64" si="48">IF(AP62&lt;$I$1,AP62+1,"")</f>
        <v>3</v>
      </c>
      <c r="AQ64" s="3">
        <f>IF(AP64="","",IF(Dati!$F21="",VLOOKUP(AP64+$F$1,AP$9:AY$28,9,FALSE),Dati!$F21))</f>
        <v>8.65</v>
      </c>
      <c r="AR64" s="1">
        <f>IF(AP64="","",(AP64-1+$F$1)*Modi!$B$51+2+($F$1-AO64))</f>
        <v>40</v>
      </c>
      <c r="AS64" s="2">
        <f>IF(AP64="","",INDEX(SPO!$H:$H,AR64,1))</f>
        <v>-0.55300000000000005</v>
      </c>
      <c r="AT64" s="2">
        <f>IF(AP64="","",INDEX(SPO!$I:$I,AR64,1))</f>
        <v>4.7910000000000004</v>
      </c>
      <c r="AU64" s="2">
        <f>IF(AP64="","",INDEX(SPO!$J:$J,AR64,1))</f>
        <v>4.0000000000000001E-3</v>
      </c>
      <c r="AV64" s="2">
        <f>IF(AP64="","",INDEX(SPO!$K:$K,AR64,1))</f>
        <v>6.0000000000000001E-3</v>
      </c>
      <c r="BB64" s="1">
        <f>IF(BC64="","",BB62)</f>
        <v>1</v>
      </c>
      <c r="BC64" s="1">
        <f t="shared" ref="BC64" si="49">IF(BC62&lt;$I$1,BC62+1,"")</f>
        <v>3</v>
      </c>
      <c r="BD64" s="3">
        <f>IF(BC64="","",IF(Dati!$F21="",VLOOKUP(BC64+$F$1,BC$9:BL$28,9,FALSE),Dati!$F21))</f>
        <v>8.65</v>
      </c>
      <c r="BE64" s="1">
        <f>IF(BC64="","",(BC64-1+$F$1)*Modi!$B$51+2+($F$1-BB64))</f>
        <v>41</v>
      </c>
      <c r="BF64" s="2">
        <f>IF(BC64="","",INDEX(SPO!$H:$H,BE64,1))</f>
        <v>-0.26100000000000001</v>
      </c>
      <c r="BG64" s="2">
        <f>IF(BC64="","",INDEX(SPO!$I:$I,BE64,1))</f>
        <v>2.234</v>
      </c>
      <c r="BH64" s="2">
        <f>IF(BC64="","",INDEX(SPO!$J:$J,BE64,1))</f>
        <v>-5.0000000000000001E-3</v>
      </c>
      <c r="BI64" s="2">
        <f>IF(BC64="","",INDEX(SPO!$K:$K,BE64,1))</f>
        <v>-8.0000000000000002E-3</v>
      </c>
      <c r="BO64" s="1">
        <f>IF(BP64="","",BO62)</f>
        <v>1</v>
      </c>
      <c r="BP64" s="1">
        <f t="shared" ref="BP64" si="50">IF(BP62&lt;$I$1,BP62+1,"")</f>
        <v>3</v>
      </c>
      <c r="BQ64" s="3">
        <f>IF(BP64="","",IF(Dati!$F21="",VLOOKUP(BP64+$F$1,BP$9:BY$28,9,FALSE),Dati!$F21))</f>
        <v>8.65</v>
      </c>
      <c r="BR64" s="1">
        <f>IF(BP64="","",(BP64-1+$F$1)*Modi!$B$51+2+($F$1-BO64))</f>
        <v>41</v>
      </c>
      <c r="BS64" s="2">
        <f>IF(BP64="","",INDEX(SPO!$H:$H,BR64,1))</f>
        <v>-0.26100000000000001</v>
      </c>
      <c r="BT64" s="2">
        <f>IF(BP64="","",INDEX(SPO!$I:$I,BR64,1))</f>
        <v>2.234</v>
      </c>
      <c r="BU64" s="2">
        <f>IF(BP64="","",INDEX(SPO!$J:$J,BR64,1))</f>
        <v>-5.0000000000000001E-3</v>
      </c>
      <c r="BV64" s="2">
        <f>IF(BP64="","",INDEX(SPO!$K:$K,BR64,1))</f>
        <v>-8.0000000000000002E-3</v>
      </c>
    </row>
    <row r="65" spans="2:74">
      <c r="C65" s="3"/>
      <c r="D65" s="3">
        <f>IF(C66="","",VLOOKUP(C64+$F$1,C$9:L$28,10,FALSE))</f>
        <v>10.15</v>
      </c>
      <c r="F65" s="2">
        <f>IF(C66="","",F64+(F66-F64)*(D65-D64)/(D66-D64))</f>
        <v>-1.1815</v>
      </c>
      <c r="G65" s="2">
        <f>IF(D66="","",G64+(G66-G64)*(D65-D64)/(D66-D64))</f>
        <v>10.574</v>
      </c>
      <c r="H65" s="2">
        <f>IF(E66="","",H64+(H66-H64)*(D65-D64)/(D66-D64))</f>
        <v>0.24050000000000002</v>
      </c>
      <c r="I65" s="2">
        <f>IF(F66="","",I64+(I66-I64)*(D65-D64)/(D66-D64))</f>
        <v>0.35349999999999998</v>
      </c>
      <c r="P65" s="3"/>
      <c r="Q65" s="3">
        <f>IF(P66="","",VLOOKUP(P64+$F$1,P$9:Y$28,10,FALSE))</f>
        <v>10.15</v>
      </c>
      <c r="S65" s="2">
        <f>IF(P66="","",S64+(S66-S64)*(Q65-Q64)/(Q66-Q64))</f>
        <v>-1.0445</v>
      </c>
      <c r="T65" s="2">
        <f>IF(Q66="","",T64+(T66-T64)*(Q65-Q64)/(Q66-Q64))</f>
        <v>9.3765000000000001</v>
      </c>
      <c r="U65" s="2">
        <f>IF(R66="","",U64+(U66-U64)*(Q65-Q64)/(Q66-Q64))</f>
        <v>0.20499999999999996</v>
      </c>
      <c r="V65" s="2">
        <f>IF(S66="","",V64+(V66-V64)*(Q65-Q64)/(Q66-Q64))</f>
        <v>0.30149999999999999</v>
      </c>
      <c r="AC65" s="3"/>
      <c r="AD65" s="3">
        <f>IF(AC66="","",VLOOKUP(AC64+$F$1,AC$9:AL$28,10,FALSE))</f>
        <v>10.15</v>
      </c>
      <c r="AF65" s="2">
        <f>IF(AC66="","",AF64+(AF66-AF64)*(AD65-AD64)/(AD66-AD64))</f>
        <v>-0.83899999999999997</v>
      </c>
      <c r="AG65" s="2">
        <f>IF(AD66="","",AG64+(AG66-AG64)*(AD65-AD64)/(AD66-AD64))</f>
        <v>7.5504999999999995</v>
      </c>
      <c r="AH65" s="2">
        <f>IF(AE66="","",AH64+(AH66-AH64)*(AD65-AD64)/(AD66-AD64))</f>
        <v>0.15749999999999997</v>
      </c>
      <c r="AI65" s="2">
        <f>IF(AF66="","",AI64+(AI66-AI64)*(AD65-AD64)/(AD66-AD64))</f>
        <v>0.23099999999999998</v>
      </c>
      <c r="AP65" s="3"/>
      <c r="AQ65" s="3">
        <f>IF(AP66="","",VLOOKUP(AP64+$F$1,AP$9:AY$28,10,FALSE))</f>
        <v>10.15</v>
      </c>
      <c r="AS65" s="2">
        <f>IF(AP66="","",AS64+(AS66-AS64)*(AQ65-AQ64)/(AQ66-AQ64))</f>
        <v>-0.56800000000000006</v>
      </c>
      <c r="AT65" s="2">
        <f>IF(AQ66="","",AT64+(AT66-AT64)*(AQ65-AQ64)/(AQ66-AQ64))</f>
        <v>5.1285000000000007</v>
      </c>
      <c r="AU65" s="2">
        <f>IF(AR66="","",AU64+(AU66-AU64)*(AQ65-AQ64)/(AQ66-AQ64))</f>
        <v>9.9000000000000019E-2</v>
      </c>
      <c r="AV65" s="2">
        <f>IF(AS66="","",AV64+(AV66-AV64)*(AQ65-AQ64)/(AQ66-AQ64))</f>
        <v>0.14549999999999999</v>
      </c>
      <c r="BC65" s="3"/>
      <c r="BD65" s="3">
        <f>IF(BC66="","",VLOOKUP(BC64+$F$1,BC$9:BL$28,10,FALSE))</f>
        <v>10.15</v>
      </c>
      <c r="BF65" s="2">
        <f>IF(BC66="","",BF64+(BF66-BF64)*(BD65-BD64)/(BD66-BD64))</f>
        <v>-0.26350000000000001</v>
      </c>
      <c r="BG65" s="2">
        <f>IF(BD66="","",BG64+(BG66-BG64)*(BD65-BD64)/(BD66-BD64))</f>
        <v>2.3734999999999999</v>
      </c>
      <c r="BH65" s="2">
        <f>IF(BE66="","",BH64+(BH66-BH64)*(BD65-BD64)/(BD66-BD64))</f>
        <v>3.8000000000000006E-2</v>
      </c>
      <c r="BI65" s="2">
        <f>IF(BF66="","",BI64+(BI66-BI64)*(BD65-BD64)/(BD66-BD64))</f>
        <v>5.5500000000000001E-2</v>
      </c>
      <c r="BP65" s="3"/>
      <c r="BQ65" s="3">
        <f>IF(BP66="","",VLOOKUP(BP64+$F$1,BP$9:BY$28,10,FALSE))</f>
        <v>10.15</v>
      </c>
      <c r="BS65" s="2">
        <f>IF(BP66="","",BS64+(BS66-BS64)*(BQ65-BQ64)/(BQ66-BQ64))</f>
        <v>-0.26350000000000001</v>
      </c>
      <c r="BT65" s="2">
        <f>IF(BQ66="","",BT64+(BT66-BT64)*(BQ65-BQ64)/(BQ66-BQ64))</f>
        <v>2.3734999999999999</v>
      </c>
      <c r="BU65" s="2">
        <f>IF(BR66="","",BU64+(BU66-BU64)*(BQ65-BQ64)/(BQ66-BQ64))</f>
        <v>3.8000000000000006E-2</v>
      </c>
      <c r="BV65" s="2">
        <f>IF(BS66="","",BV64+(BV66-BV64)*(BQ65-BQ64)/(BQ66-BQ64))</f>
        <v>5.5500000000000001E-2</v>
      </c>
    </row>
    <row r="66" spans="2:74">
      <c r="B66" s="1">
        <f>IF(C66="","",B64)</f>
        <v>5</v>
      </c>
      <c r="C66" s="1">
        <f>IF(C64&lt;$I$1,C64+1,"")</f>
        <v>4</v>
      </c>
      <c r="D66" s="3">
        <f>IF(C66="","",IF(Dati!$F22="",VLOOKUP(C66+$F$1,C$9:L$28,9,FALSE),Dati!$F22))</f>
        <v>11.65</v>
      </c>
      <c r="E66" s="1">
        <f>IF(C66="","",(C66-1+$F$1)*Modi!$B$51+2+($F$1-B66))</f>
        <v>42</v>
      </c>
      <c r="F66" s="2">
        <f>IF(C66="","",INDEX(SPO!$H:$H,E66,1))</f>
        <v>-1.234</v>
      </c>
      <c r="G66" s="2">
        <f>IF(C66="","",INDEX(SPO!$I:$I,E66,1))</f>
        <v>11.337</v>
      </c>
      <c r="H66" s="2">
        <f>IF(C66="","",INDEX(SPO!$J:$J,E66,1))</f>
        <v>0.442</v>
      </c>
      <c r="I66" s="2">
        <f>IF(C66="","",INDEX(SPO!$K:$K,E66,1))</f>
        <v>0.65</v>
      </c>
      <c r="O66" s="1">
        <f>IF(P66="","",O64)</f>
        <v>4</v>
      </c>
      <c r="P66" s="1">
        <f>IF(P64&lt;$I$1,P64+1,"")</f>
        <v>4</v>
      </c>
      <c r="Q66" s="3">
        <f>IF(P66="","",IF(Dati!$F22="",VLOOKUP(P66+$F$1,P$9:Y$28,9,FALSE),Dati!$F22))</f>
        <v>11.65</v>
      </c>
      <c r="R66" s="1">
        <f>IF(P66="","",(P66-1+$F$1)*Modi!$B$51+2+($F$1-O66))</f>
        <v>43</v>
      </c>
      <c r="S66" s="2">
        <f>IF(P66="","",INDEX(SPO!$H:$H,R66,1))</f>
        <v>-1.0860000000000001</v>
      </c>
      <c r="T66" s="2">
        <f>IF(P66="","",INDEX(SPO!$I:$I,R66,1))</f>
        <v>10.041</v>
      </c>
      <c r="U66" s="2">
        <f>IF(P66="","",INDEX(SPO!$J:$J,R66,1))</f>
        <v>0.38200000000000001</v>
      </c>
      <c r="V66" s="2">
        <f>IF(P66="","",INDEX(SPO!$K:$K,R66,1))</f>
        <v>0.56200000000000006</v>
      </c>
      <c r="AB66" s="1">
        <f>IF(AC66="","",AB64)</f>
        <v>3</v>
      </c>
      <c r="AC66" s="1">
        <f>IF(AC64&lt;$I$1,AC64+1,"")</f>
        <v>4</v>
      </c>
      <c r="AD66" s="3">
        <f>IF(AC66="","",IF(Dati!$F22="",VLOOKUP(AC66+$F$1,AC$9:AL$28,9,FALSE),Dati!$F22))</f>
        <v>11.65</v>
      </c>
      <c r="AE66" s="1">
        <f>IF(AC66="","",(AC66-1+$F$1)*Modi!$B$51+2+($F$1-AB66))</f>
        <v>44</v>
      </c>
      <c r="AF66" s="2">
        <f>IF(AC66="","",INDEX(SPO!$H:$H,AE66,1))</f>
        <v>-0.86799999999999999</v>
      </c>
      <c r="AG66" s="2">
        <f>IF(AC66="","",INDEX(SPO!$I:$I,AE66,1))</f>
        <v>8.0719999999999992</v>
      </c>
      <c r="AH66" s="2">
        <f>IF(AC66="","",INDEX(SPO!$J:$J,AE66,1))</f>
        <v>0.29899999999999999</v>
      </c>
      <c r="AI66" s="2">
        <f>IF(AC66="","",INDEX(SPO!$K:$K,AE66,1))</f>
        <v>0.439</v>
      </c>
      <c r="AO66" s="1">
        <f>IF(AP66="","",AO64)</f>
        <v>2</v>
      </c>
      <c r="AP66" s="1">
        <f>IF(AP64&lt;$I$1,AP64+1,"")</f>
        <v>4</v>
      </c>
      <c r="AQ66" s="3">
        <f>IF(AP66="","",IF(Dati!$F22="",VLOOKUP(AP66+$F$1,AP$9:AY$28,9,FALSE),Dati!$F22))</f>
        <v>11.65</v>
      </c>
      <c r="AR66" s="1">
        <f>IF(AP66="","",(AP66-1+$F$1)*Modi!$B$51+2+($F$1-AO66))</f>
        <v>45</v>
      </c>
      <c r="AS66" s="2">
        <f>IF(AP66="","",INDEX(SPO!$H:$H,AR66,1))</f>
        <v>-0.58299999999999996</v>
      </c>
      <c r="AT66" s="2">
        <f>IF(AP66="","",INDEX(SPO!$I:$I,AR66,1))</f>
        <v>5.4660000000000002</v>
      </c>
      <c r="AU66" s="2">
        <f>IF(AP66="","",INDEX(SPO!$J:$J,AR66,1))</f>
        <v>0.19400000000000001</v>
      </c>
      <c r="AV66" s="2">
        <f>IF(AP66="","",INDEX(SPO!$K:$K,AR66,1))</f>
        <v>0.28499999999999998</v>
      </c>
      <c r="BB66" s="1">
        <f>IF(BC66="","",BB64)</f>
        <v>1</v>
      </c>
      <c r="BC66" s="1">
        <f>IF(BC64&lt;$I$1,BC64+1,"")</f>
        <v>4</v>
      </c>
      <c r="BD66" s="3">
        <f>IF(BC66="","",IF(Dati!$F22="",VLOOKUP(BC66+$F$1,BC$9:BL$28,9,FALSE),Dati!$F22))</f>
        <v>11.65</v>
      </c>
      <c r="BE66" s="1">
        <f>IF(BC66="","",(BC66-1+$F$1)*Modi!$B$51+2+($F$1-BB66))</f>
        <v>46</v>
      </c>
      <c r="BF66" s="2">
        <f>IF(BC66="","",INDEX(SPO!$H:$H,BE66,1))</f>
        <v>-0.26600000000000001</v>
      </c>
      <c r="BG66" s="2">
        <f>IF(BC66="","",INDEX(SPO!$I:$I,BE66,1))</f>
        <v>2.5129999999999999</v>
      </c>
      <c r="BH66" s="2">
        <f>IF(BC66="","",INDEX(SPO!$J:$J,BE66,1))</f>
        <v>8.1000000000000003E-2</v>
      </c>
      <c r="BI66" s="2">
        <f>IF(BC66="","",INDEX(SPO!$K:$K,BE66,1))</f>
        <v>0.11899999999999999</v>
      </c>
      <c r="BO66" s="1">
        <f>IF(BP66="","",BO64)</f>
        <v>1</v>
      </c>
      <c r="BP66" s="1">
        <f>IF(BP64&lt;$I$1,BP64+1,"")</f>
        <v>4</v>
      </c>
      <c r="BQ66" s="3">
        <f>IF(BP66="","",IF(Dati!$F22="",VLOOKUP(BP66+$F$1,BP$9:BY$28,9,FALSE),Dati!$F22))</f>
        <v>11.65</v>
      </c>
      <c r="BR66" s="1">
        <f>IF(BP66="","",(BP66-1+$F$1)*Modi!$B$51+2+($F$1-BO66))</f>
        <v>46</v>
      </c>
      <c r="BS66" s="2">
        <f>IF(BP66="","",INDEX(SPO!$H:$H,BR66,1))</f>
        <v>-0.26600000000000001</v>
      </c>
      <c r="BT66" s="2">
        <f>IF(BP66="","",INDEX(SPO!$I:$I,BR66,1))</f>
        <v>2.5129999999999999</v>
      </c>
      <c r="BU66" s="2">
        <f>IF(BP66="","",INDEX(SPO!$J:$J,BR66,1))</f>
        <v>8.1000000000000003E-2</v>
      </c>
      <c r="BV66" s="2">
        <f>IF(BP66="","",INDEX(SPO!$K:$K,BR66,1))</f>
        <v>0.11899999999999999</v>
      </c>
    </row>
    <row r="67" spans="2:74">
      <c r="C67" s="3"/>
      <c r="D67" s="3">
        <f>IF(C68="","",VLOOKUP(C66+$F$1,C$9:L$28,10,FALSE))</f>
        <v>13.25</v>
      </c>
      <c r="F67" s="2">
        <f>IF(C68="","",F66+(F68-F66)*(D67-D66)/(D68-D66))</f>
        <v>-1.3220000000000001</v>
      </c>
      <c r="G67" s="2">
        <f>IF(D68="","",G66+(G68-G66)*(D67-D66)/(D68-D66))</f>
        <v>12.305499999999999</v>
      </c>
      <c r="H67" s="2">
        <f>IF(E68="","",H66+(H68-H66)*(D67-D66)/(D68-D66))</f>
        <v>0.65749999999999997</v>
      </c>
      <c r="I67" s="2">
        <f>IF(F68="","",I66+(I68-I66)*(D67-D66)/(D68-D66))</f>
        <v>0.96700000000000008</v>
      </c>
      <c r="P67" s="3"/>
      <c r="Q67" s="3">
        <f>IF(P68="","",VLOOKUP(P66+$F$1,P$9:Y$28,10,FALSE))</f>
        <v>13.25</v>
      </c>
      <c r="S67" s="2">
        <f>IF(P68="","",S66+(S68-S66)*(Q67-Q66)/(Q68-Q66))</f>
        <v>-1.1615000000000002</v>
      </c>
      <c r="T67" s="2">
        <f>IF(Q68="","",T66+(T68-T66)*(Q67-Q66)/(Q68-Q66))</f>
        <v>10.887499999999999</v>
      </c>
      <c r="U67" s="2">
        <f>IF(R68="","",U66+(U68-U66)*(Q67-Q66)/(Q68-Q66))</f>
        <v>0.57099999999999995</v>
      </c>
      <c r="V67" s="2">
        <f>IF(S68="","",V66+(V68-V66)*(Q67-Q66)/(Q68-Q66))</f>
        <v>0.84050000000000002</v>
      </c>
      <c r="AC67" s="3"/>
      <c r="AD67" s="3">
        <f>IF(AC68="","",VLOOKUP(AC66+$F$1,AC$9:AL$28,10,FALSE))</f>
        <v>13.25</v>
      </c>
      <c r="AF67" s="2">
        <f>IF(AC68="","",AF66+(AF68-AF66)*(AD67-AD66)/(AD68-AD66))</f>
        <v>-0.92600000000000005</v>
      </c>
      <c r="AG67" s="2">
        <f>IF(AD68="","",AG66+(AG68-AG66)*(AD67-AD66)/(AD68-AD66))</f>
        <v>8.7405000000000008</v>
      </c>
      <c r="AH67" s="2">
        <f>IF(AE68="","",AH66+(AH68-AH66)*(AD67-AD66)/(AD68-AD66))</f>
        <v>0.44950000000000001</v>
      </c>
      <c r="AI67" s="2">
        <f>IF(AF68="","",AI66+(AI68-AI66)*(AD67-AD66)/(AD68-AD66))</f>
        <v>0.66100000000000003</v>
      </c>
      <c r="AP67" s="3"/>
      <c r="AQ67" s="3">
        <f>IF(AP68="","",VLOOKUP(AP66+$F$1,AP$9:AY$28,10,FALSE))</f>
        <v>13.25</v>
      </c>
      <c r="AS67" s="2">
        <f>IF(AP68="","",AS66+(AS68-AS66)*(AQ67-AQ66)/(AQ68-AQ66))</f>
        <v>-0.62</v>
      </c>
      <c r="AT67" s="2">
        <f>IF(AQ68="","",AT66+(AT68-AT66)*(AQ67-AQ66)/(AQ68-AQ66))</f>
        <v>5.9039999999999999</v>
      </c>
      <c r="AU67" s="2">
        <f>IF(AR68="","",AU66+(AU68-AU66)*(AQ67-AQ66)/(AQ68-AQ66))</f>
        <v>0.29500000000000004</v>
      </c>
      <c r="AV67" s="2">
        <f>IF(AS68="","",AV66+(AV68-AV66)*(AQ67-AQ66)/(AQ68-AQ66))</f>
        <v>0.43399999999999994</v>
      </c>
      <c r="BC67" s="3"/>
      <c r="BD67" s="3">
        <f>IF(BC68="","",VLOOKUP(BC66+$F$1,BC$9:BL$28,10,FALSE))</f>
        <v>13.25</v>
      </c>
      <c r="BF67" s="2">
        <f>IF(BC68="","",BF66+(BF68-BF66)*(BD67-BD66)/(BD68-BD66))</f>
        <v>-0.28049999999999997</v>
      </c>
      <c r="BG67" s="2">
        <f>IF(BD68="","",BG66+(BG68-BG66)*(BD67-BD66)/(BD68-BD66))</f>
        <v>2.6985000000000001</v>
      </c>
      <c r="BH67" s="2">
        <f>IF(BE68="","",BH66+(BH68-BH66)*(BD67-BD66)/(BD68-BD66))</f>
        <v>0.127</v>
      </c>
      <c r="BI67" s="2">
        <f>IF(BF68="","",BI66+(BI68-BI66)*(BD67-BD66)/(BD68-BD66))</f>
        <v>0.187</v>
      </c>
      <c r="BP67" s="3"/>
      <c r="BQ67" s="3">
        <f>IF(BP68="","",VLOOKUP(BP66+$F$1,BP$9:BY$28,10,FALSE))</f>
        <v>13.25</v>
      </c>
      <c r="BS67" s="2">
        <f>IF(BP68="","",BS66+(BS68-BS66)*(BQ67-BQ66)/(BQ68-BQ66))</f>
        <v>-0.28049999999999997</v>
      </c>
      <c r="BT67" s="2">
        <f>IF(BQ68="","",BT66+(BT68-BT66)*(BQ67-BQ66)/(BQ68-BQ66))</f>
        <v>2.6985000000000001</v>
      </c>
      <c r="BU67" s="2">
        <f>IF(BR68="","",BU66+(BU68-BU66)*(BQ67-BQ66)/(BQ68-BQ66))</f>
        <v>0.127</v>
      </c>
      <c r="BV67" s="2">
        <f>IF(BS68="","",BV66+(BV68-BV66)*(BQ67-BQ66)/(BQ68-BQ66))</f>
        <v>0.187</v>
      </c>
    </row>
    <row r="68" spans="2:74">
      <c r="B68" s="1">
        <f>IF(C68="","",B66)</f>
        <v>5</v>
      </c>
      <c r="C68" s="1">
        <f>IF(C66&lt;$I$1,C66+1,"")</f>
        <v>5</v>
      </c>
      <c r="D68" s="3">
        <f>IF(C68="","",IF(Dati!$F23="",VLOOKUP(C68+$F$1,C$9:L$28,9,FALSE),Dati!$F23))</f>
        <v>14.85</v>
      </c>
      <c r="E68" s="1">
        <f>IF(C68="","",(C68-1+$F$1)*Modi!$B$51+2+($F$1-B68))</f>
        <v>47</v>
      </c>
      <c r="F68" s="2">
        <f>IF(C68="","",INDEX(SPO!$H:$H,E68,1))</f>
        <v>-1.41</v>
      </c>
      <c r="G68" s="2">
        <f>IF(C68="","",INDEX(SPO!$I:$I,E68,1))</f>
        <v>13.273999999999999</v>
      </c>
      <c r="H68" s="2">
        <f>IF(C68="","",INDEX(SPO!$J:$J,E68,1))</f>
        <v>0.873</v>
      </c>
      <c r="I68" s="2">
        <f>IF(C68="","",INDEX(SPO!$K:$K,E68,1))</f>
        <v>1.284</v>
      </c>
      <c r="O68" s="1">
        <f>IF(P68="","",O66)</f>
        <v>4</v>
      </c>
      <c r="P68" s="1">
        <f>IF(P66&lt;$I$1,P66+1,"")</f>
        <v>5</v>
      </c>
      <c r="Q68" s="3">
        <f>IF(P68="","",IF(Dati!$F23="",VLOOKUP(P68+$F$1,P$9:Y$28,9,FALSE),Dati!$F23))</f>
        <v>14.85</v>
      </c>
      <c r="R68" s="1">
        <f>IF(P68="","",(P68-1+$F$1)*Modi!$B$51+2+($F$1-O68))</f>
        <v>48</v>
      </c>
      <c r="S68" s="2">
        <f>IF(P68="","",INDEX(SPO!$H:$H,R68,1))</f>
        <v>-1.2370000000000001</v>
      </c>
      <c r="T68" s="2">
        <f>IF(P68="","",INDEX(SPO!$I:$I,R68,1))</f>
        <v>11.734</v>
      </c>
      <c r="U68" s="2">
        <f>IF(P68="","",INDEX(SPO!$J:$J,R68,1))</f>
        <v>0.76</v>
      </c>
      <c r="V68" s="2">
        <f>IF(P68="","",INDEX(SPO!$K:$K,R68,1))</f>
        <v>1.119</v>
      </c>
      <c r="AB68" s="1">
        <f>IF(AC68="","",AB66)</f>
        <v>3</v>
      </c>
      <c r="AC68" s="1">
        <f>IF(AC66&lt;$I$1,AC66+1,"")</f>
        <v>5</v>
      </c>
      <c r="AD68" s="3">
        <f>IF(AC68="","",IF(Dati!$F23="",VLOOKUP(AC68+$F$1,AC$9:AL$28,9,FALSE),Dati!$F23))</f>
        <v>14.85</v>
      </c>
      <c r="AE68" s="1">
        <f>IF(AC68="","",(AC68-1+$F$1)*Modi!$B$51+2+($F$1-AB68))</f>
        <v>49</v>
      </c>
      <c r="AF68" s="2">
        <f>IF(AC68="","",INDEX(SPO!$H:$H,AE68,1))</f>
        <v>-0.98399999999999999</v>
      </c>
      <c r="AG68" s="2">
        <f>IF(AC68="","",INDEX(SPO!$I:$I,AE68,1))</f>
        <v>9.4090000000000007</v>
      </c>
      <c r="AH68" s="2">
        <f>IF(AC68="","",INDEX(SPO!$J:$J,AE68,1))</f>
        <v>0.6</v>
      </c>
      <c r="AI68" s="2">
        <f>IF(AC68="","",INDEX(SPO!$K:$K,AE68,1))</f>
        <v>0.88300000000000001</v>
      </c>
      <c r="AO68" s="1">
        <f>IF(AP68="","",AO66)</f>
        <v>2</v>
      </c>
      <c r="AP68" s="1">
        <f>IF(AP66&lt;$I$1,AP66+1,"")</f>
        <v>5</v>
      </c>
      <c r="AQ68" s="3">
        <f>IF(AP68="","",IF(Dati!$F23="",VLOOKUP(AP68+$F$1,AP$9:AY$28,9,FALSE),Dati!$F23))</f>
        <v>14.85</v>
      </c>
      <c r="AR68" s="1">
        <f>IF(AP68="","",(AP68-1+$F$1)*Modi!$B$51+2+($F$1-AO68))</f>
        <v>50</v>
      </c>
      <c r="AS68" s="2">
        <f>IF(AP68="","",INDEX(SPO!$H:$H,AR68,1))</f>
        <v>-0.65700000000000003</v>
      </c>
      <c r="AT68" s="2">
        <f>IF(AP68="","",INDEX(SPO!$I:$I,AR68,1))</f>
        <v>6.3419999999999996</v>
      </c>
      <c r="AU68" s="2">
        <f>IF(AP68="","",INDEX(SPO!$J:$J,AR68,1))</f>
        <v>0.39600000000000002</v>
      </c>
      <c r="AV68" s="2">
        <f>IF(AP68="","",INDEX(SPO!$K:$K,AR68,1))</f>
        <v>0.58299999999999996</v>
      </c>
      <c r="BB68" s="1">
        <f>IF(BC68="","",BB66)</f>
        <v>1</v>
      </c>
      <c r="BC68" s="1">
        <f>IF(BC66&lt;$I$1,BC66+1,"")</f>
        <v>5</v>
      </c>
      <c r="BD68" s="3">
        <f>IF(BC68="","",IF(Dati!$F23="",VLOOKUP(BC68+$F$1,BC$9:BL$28,9,FALSE),Dati!$F23))</f>
        <v>14.85</v>
      </c>
      <c r="BE68" s="1">
        <f>IF(BC68="","",(BC68-1+$F$1)*Modi!$B$51+2+($F$1-BB68))</f>
        <v>51</v>
      </c>
      <c r="BF68" s="2">
        <f>IF(BC68="","",INDEX(SPO!$H:$H,BE68,1))</f>
        <v>-0.29499999999999998</v>
      </c>
      <c r="BG68" s="2">
        <f>IF(BC68="","",INDEX(SPO!$I:$I,BE68,1))</f>
        <v>2.8839999999999999</v>
      </c>
      <c r="BH68" s="2">
        <f>IF(BC68="","",INDEX(SPO!$J:$J,BE68,1))</f>
        <v>0.17299999999999999</v>
      </c>
      <c r="BI68" s="2">
        <f>IF(BC68="","",INDEX(SPO!$K:$K,BE68,1))</f>
        <v>0.255</v>
      </c>
      <c r="BO68" s="1">
        <f>IF(BP68="","",BO66)</f>
        <v>1</v>
      </c>
      <c r="BP68" s="1">
        <f>IF(BP66&lt;$I$1,BP66+1,"")</f>
        <v>5</v>
      </c>
      <c r="BQ68" s="3">
        <f>IF(BP68="","",IF(Dati!$F23="",VLOOKUP(BP68+$F$1,BP$9:BY$28,9,FALSE),Dati!$F23))</f>
        <v>14.85</v>
      </c>
      <c r="BR68" s="1">
        <f>IF(BP68="","",(BP68-1+$F$1)*Modi!$B$51+2+($F$1-BO68))</f>
        <v>51</v>
      </c>
      <c r="BS68" s="2">
        <f>IF(BP68="","",INDEX(SPO!$H:$H,BR68,1))</f>
        <v>-0.29499999999999998</v>
      </c>
      <c r="BT68" s="2">
        <f>IF(BP68="","",INDEX(SPO!$I:$I,BR68,1))</f>
        <v>2.8839999999999999</v>
      </c>
      <c r="BU68" s="2">
        <f>IF(BP68="","",INDEX(SPO!$J:$J,BR68,1))</f>
        <v>0.17299999999999999</v>
      </c>
      <c r="BV68" s="2">
        <f>IF(BP68="","",INDEX(SPO!$K:$K,BR68,1))</f>
        <v>0.255</v>
      </c>
    </row>
    <row r="69" spans="2:74">
      <c r="C69" s="3"/>
      <c r="D69" s="3">
        <f>IF(C70="","",VLOOKUP(C68+$F$1,C$9:L$28,10,FALSE))</f>
        <v>16.95</v>
      </c>
      <c r="F69" s="2">
        <f>IF(C70="","",F68+(F70-F68)*(D69-D68)/(D70-D68))</f>
        <v>-1.5585</v>
      </c>
      <c r="G69" s="2">
        <f>IF(D70="","",G68+(G70-G68)*(D69-D68)/(D70-D68))</f>
        <v>14.6915</v>
      </c>
      <c r="H69" s="2">
        <f>IF(E70="","",H68+(H70-H68)*(D69-D68)/(D70-D68))</f>
        <v>1.1555</v>
      </c>
      <c r="I69" s="2">
        <f>IF(F70="","",I68+(I70-I68)*(D69-D68)/(D70-D68))</f>
        <v>1.6995</v>
      </c>
      <c r="P69" s="3"/>
      <c r="Q69" s="3">
        <f>IF(P70="","",VLOOKUP(P68+$F$1,P$9:Y$28,10,FALSE))</f>
        <v>16.95</v>
      </c>
      <c r="S69" s="2">
        <f>IF(P70="","",S68+(S70-S68)*(Q69-Q68)/(Q70-Q68))</f>
        <v>-1.3680000000000001</v>
      </c>
      <c r="T69" s="2">
        <f>IF(Q70="","",T68+(T70-T68)*(Q69-Q68)/(Q70-Q68))</f>
        <v>12.977</v>
      </c>
      <c r="U69" s="2">
        <f>IF(R70="","",U68+(U70-U68)*(Q69-Q68)/(Q70-Q68))</f>
        <v>1.0085</v>
      </c>
      <c r="V69" s="2">
        <f>IF(S70="","",V68+(V70-V68)*(Q69-Q68)/(Q70-Q68))</f>
        <v>1.4839999999999998</v>
      </c>
      <c r="AC69" s="3"/>
      <c r="AD69" s="3">
        <f>IF(AC70="","",VLOOKUP(AC68+$F$1,AC$9:AL$28,10,FALSE))</f>
        <v>16.95</v>
      </c>
      <c r="AF69" s="2">
        <f>IF(AC70="","",AF68+(AF70-AF68)*(AD69-AD68)/(AD70-AD68))</f>
        <v>-1.0894999999999999</v>
      </c>
      <c r="AG69" s="2">
        <f>IF(AD70="","",AG68+(AG70-AG68)*(AD69-AD68)/(AD70-AD68))</f>
        <v>10.395</v>
      </c>
      <c r="AH69" s="2">
        <f>IF(AE70="","",AH68+(AH70-AH68)*(AD69-AD68)/(AD70-AD68))</f>
        <v>0.79799999999999993</v>
      </c>
      <c r="AI69" s="2">
        <f>IF(AF70="","",AI68+(AI70-AI68)*(AD69-AD68)/(AD70-AD68))</f>
        <v>1.1739999999999999</v>
      </c>
      <c r="AP69" s="3"/>
      <c r="AQ69" s="3">
        <f>IF(AP70="","",VLOOKUP(AP68+$F$1,AP$9:AY$28,10,FALSE))</f>
        <v>16.95</v>
      </c>
      <c r="AS69" s="2">
        <f>IF(AP70="","",AS68+(AS70-AS68)*(AQ69-AQ68)/(AQ70-AQ68))</f>
        <v>-0.72850000000000004</v>
      </c>
      <c r="AT69" s="2">
        <f>IF(AQ70="","",AT68+(AT70-AT68)*(AQ69-AQ68)/(AQ70-AQ68))</f>
        <v>6.9924999999999997</v>
      </c>
      <c r="AU69" s="2">
        <f>IF(AR70="","",AU68+(AU70-AU68)*(AQ69-AQ68)/(AQ70-AQ68))</f>
        <v>0.52899999999999991</v>
      </c>
      <c r="AV69" s="2">
        <f>IF(AS70="","",AV68+(AV70-AV68)*(AQ69-AQ68)/(AQ70-AQ68))</f>
        <v>0.77849999999999986</v>
      </c>
      <c r="BC69" s="3"/>
      <c r="BD69" s="3">
        <f>IF(BC70="","",VLOOKUP(BC68+$F$1,BC$9:BL$28,10,FALSE))</f>
        <v>16.95</v>
      </c>
      <c r="BF69" s="2">
        <f>IF(BC70="","",BF68+(BF70-BF68)*(BD69-BD68)/(BD70-BD68))</f>
        <v>-0.32799999999999996</v>
      </c>
      <c r="BG69" s="2">
        <f>IF(BD70="","",BG68+(BG70-BG68)*(BD69-BD68)/(BD70-BD68))</f>
        <v>3.165</v>
      </c>
      <c r="BH69" s="2">
        <f>IF(BE70="","",BH68+(BH70-BH68)*(BD69-BD68)/(BD70-BD68))</f>
        <v>0.23349999999999996</v>
      </c>
      <c r="BI69" s="2">
        <f>IF(BF70="","",BI68+(BI70-BI68)*(BD69-BD68)/(BD70-BD68))</f>
        <v>0.34399999999999997</v>
      </c>
      <c r="BP69" s="3"/>
      <c r="BQ69" s="3">
        <f>IF(BP70="","",VLOOKUP(BP68+$F$1,BP$9:BY$28,10,FALSE))</f>
        <v>16.95</v>
      </c>
      <c r="BS69" s="2">
        <f>IF(BP70="","",BS68+(BS70-BS68)*(BQ69-BQ68)/(BQ70-BQ68))</f>
        <v>-0.32799999999999996</v>
      </c>
      <c r="BT69" s="2">
        <f>IF(BQ70="","",BT68+(BT70-BT68)*(BQ69-BQ68)/(BQ70-BQ68))</f>
        <v>3.165</v>
      </c>
      <c r="BU69" s="2">
        <f>IF(BR70="","",BU68+(BU70-BU68)*(BQ69-BQ68)/(BQ70-BQ68))</f>
        <v>0.23349999999999996</v>
      </c>
      <c r="BV69" s="2">
        <f>IF(BS70="","",BV68+(BV70-BV68)*(BQ69-BQ68)/(BQ70-BQ68))</f>
        <v>0.34399999999999997</v>
      </c>
    </row>
    <row r="70" spans="2:74">
      <c r="B70" s="1">
        <f>IF(C70="","",B68)</f>
        <v>5</v>
      </c>
      <c r="C70" s="1">
        <f>IF(C68&lt;$I$1,C68+1,"")</f>
        <v>6</v>
      </c>
      <c r="D70" s="3">
        <f>IF(C70="","",IF(Dati!$F24="",VLOOKUP(C70+$F$1,C$9:L$28,9,FALSE),Dati!$F24))</f>
        <v>19.05</v>
      </c>
      <c r="E70" s="1">
        <f>IF(C70="","",(C70-1+$F$1)*Modi!$B$51+2+($F$1-B70))</f>
        <v>52</v>
      </c>
      <c r="F70" s="2">
        <f>IF(C70="","",INDEX(SPO!$H:$H,E70,1))</f>
        <v>-1.7070000000000001</v>
      </c>
      <c r="G70" s="2">
        <f>IF(C70="","",INDEX(SPO!$I:$I,E70,1))</f>
        <v>16.109000000000002</v>
      </c>
      <c r="H70" s="2">
        <f>IF(C70="","",INDEX(SPO!$J:$J,E70,1))</f>
        <v>1.4379999999999999</v>
      </c>
      <c r="I70" s="2">
        <f>IF(C70="","",INDEX(SPO!$K:$K,E70,1))</f>
        <v>2.1150000000000002</v>
      </c>
      <c r="O70" s="1">
        <f>IF(P70="","",O68)</f>
        <v>4</v>
      </c>
      <c r="P70" s="1">
        <f>IF(P68&lt;$I$1,P68+1,"")</f>
        <v>6</v>
      </c>
      <c r="Q70" s="3">
        <f>IF(P70="","",IF(Dati!$F24="",VLOOKUP(P70+$F$1,P$9:Y$28,9,FALSE),Dati!$F24))</f>
        <v>19.05</v>
      </c>
      <c r="R70" s="1">
        <f>IF(P70="","",(P70-1+$F$1)*Modi!$B$51+2+($F$1-O70))</f>
        <v>53</v>
      </c>
      <c r="S70" s="2">
        <f>IF(P70="","",INDEX(SPO!$H:$H,R70,1))</f>
        <v>-1.4990000000000001</v>
      </c>
      <c r="T70" s="2">
        <f>IF(P70="","",INDEX(SPO!$I:$I,R70,1))</f>
        <v>14.22</v>
      </c>
      <c r="U70" s="2">
        <f>IF(P70="","",INDEX(SPO!$J:$J,R70,1))</f>
        <v>1.2569999999999999</v>
      </c>
      <c r="V70" s="2">
        <f>IF(P70="","",INDEX(SPO!$K:$K,R70,1))</f>
        <v>1.849</v>
      </c>
      <c r="AB70" s="1">
        <f>IF(AC70="","",AB68)</f>
        <v>3</v>
      </c>
      <c r="AC70" s="1">
        <f>IF(AC68&lt;$I$1,AC68+1,"")</f>
        <v>6</v>
      </c>
      <c r="AD70" s="3">
        <f>IF(AC70="","",IF(Dati!$F24="",VLOOKUP(AC70+$F$1,AC$9:AL$28,9,FALSE),Dati!$F24))</f>
        <v>19.05</v>
      </c>
      <c r="AE70" s="1">
        <f>IF(AC70="","",(AC70-1+$F$1)*Modi!$B$51+2+($F$1-AB70))</f>
        <v>54</v>
      </c>
      <c r="AF70" s="2">
        <f>IF(AC70="","",INDEX(SPO!$H:$H,AE70,1))</f>
        <v>-1.1950000000000001</v>
      </c>
      <c r="AG70" s="2">
        <f>IF(AC70="","",INDEX(SPO!$I:$I,AE70,1))</f>
        <v>11.381</v>
      </c>
      <c r="AH70" s="2">
        <f>IF(AC70="","",INDEX(SPO!$J:$J,AE70,1))</f>
        <v>0.996</v>
      </c>
      <c r="AI70" s="2">
        <f>IF(AC70="","",INDEX(SPO!$K:$K,AE70,1))</f>
        <v>1.4650000000000001</v>
      </c>
      <c r="AO70" s="1">
        <f>IF(AP70="","",AO68)</f>
        <v>2</v>
      </c>
      <c r="AP70" s="1">
        <f>IF(AP68&lt;$I$1,AP68+1,"")</f>
        <v>6</v>
      </c>
      <c r="AQ70" s="3">
        <f>IF(AP70="","",IF(Dati!$F24="",VLOOKUP(AP70+$F$1,AP$9:AY$28,9,FALSE),Dati!$F24))</f>
        <v>19.05</v>
      </c>
      <c r="AR70" s="1">
        <f>IF(AP70="","",(AP70-1+$F$1)*Modi!$B$51+2+($F$1-AO70))</f>
        <v>55</v>
      </c>
      <c r="AS70" s="2">
        <f>IF(AP70="","",INDEX(SPO!$H:$H,AR70,1))</f>
        <v>-0.8</v>
      </c>
      <c r="AT70" s="2">
        <f>IF(AP70="","",INDEX(SPO!$I:$I,AR70,1))</f>
        <v>7.6429999999999998</v>
      </c>
      <c r="AU70" s="2">
        <f>IF(AP70="","",INDEX(SPO!$J:$J,AR70,1))</f>
        <v>0.66200000000000003</v>
      </c>
      <c r="AV70" s="2">
        <f>IF(AP70="","",INDEX(SPO!$K:$K,AR70,1))</f>
        <v>0.97399999999999998</v>
      </c>
      <c r="BB70" s="1">
        <f>IF(BC70="","",BB68)</f>
        <v>1</v>
      </c>
      <c r="BC70" s="1">
        <f>IF(BC68&lt;$I$1,BC68+1,"")</f>
        <v>6</v>
      </c>
      <c r="BD70" s="3">
        <f>IF(BC70="","",IF(Dati!$F24="",VLOOKUP(BC70+$F$1,BC$9:BL$28,9,FALSE),Dati!$F24))</f>
        <v>19.05</v>
      </c>
      <c r="BE70" s="1">
        <f>IF(BC70="","",(BC70-1+$F$1)*Modi!$B$51+2+($F$1-BB70))</f>
        <v>56</v>
      </c>
      <c r="BF70" s="2">
        <f>IF(BC70="","",INDEX(SPO!$H:$H,BE70,1))</f>
        <v>-0.36099999999999999</v>
      </c>
      <c r="BG70" s="2">
        <f>IF(BC70="","",INDEX(SPO!$I:$I,BE70,1))</f>
        <v>3.4460000000000002</v>
      </c>
      <c r="BH70" s="2">
        <f>IF(BC70="","",INDEX(SPO!$J:$J,BE70,1))</f>
        <v>0.29399999999999998</v>
      </c>
      <c r="BI70" s="2">
        <f>IF(BC70="","",INDEX(SPO!$K:$K,BE70,1))</f>
        <v>0.433</v>
      </c>
      <c r="BO70" s="1">
        <f>IF(BP70="","",BO68)</f>
        <v>1</v>
      </c>
      <c r="BP70" s="1">
        <f>IF(BP68&lt;$I$1,BP68+1,"")</f>
        <v>6</v>
      </c>
      <c r="BQ70" s="3">
        <f>IF(BP70="","",IF(Dati!$F24="",VLOOKUP(BP70+$F$1,BP$9:BY$28,9,FALSE),Dati!$F24))</f>
        <v>19.05</v>
      </c>
      <c r="BR70" s="1">
        <f>IF(BP70="","",(BP70-1+$F$1)*Modi!$B$51+2+($F$1-BO70))</f>
        <v>56</v>
      </c>
      <c r="BS70" s="2">
        <f>IF(BP70="","",INDEX(SPO!$H:$H,BR70,1))</f>
        <v>-0.36099999999999999</v>
      </c>
      <c r="BT70" s="2">
        <f>IF(BP70="","",INDEX(SPO!$I:$I,BR70,1))</f>
        <v>3.4460000000000002</v>
      </c>
      <c r="BU70" s="2">
        <f>IF(BP70="","",INDEX(SPO!$J:$J,BR70,1))</f>
        <v>0.29399999999999998</v>
      </c>
      <c r="BV70" s="2">
        <f>IF(BP70="","",INDEX(SPO!$K:$K,BR70,1))</f>
        <v>0.433</v>
      </c>
    </row>
    <row r="71" spans="2:74">
      <c r="C71" s="3"/>
      <c r="D71" s="3">
        <f>IF(C72="","",VLOOKUP(C70+$F$1,C$9:L$28,10,FALSE))</f>
        <v>20.85</v>
      </c>
      <c r="F71" s="2">
        <f>IF(C72="","",F70+(F72-F70)*(D71-D70)/(D72-D70))</f>
        <v>-1.8530000000000002</v>
      </c>
      <c r="G71" s="2">
        <f>IF(D72="","",G70+(G72-G70)*(D71-D70)/(D72-D70))</f>
        <v>17.404000000000003</v>
      </c>
      <c r="H71" s="2">
        <f>IF(E72="","",H70+(H72-H70)*(D71-D70)/(D72-D70))</f>
        <v>1.6800000000000002</v>
      </c>
      <c r="I71" s="2">
        <f>IF(F72="","",I70+(I72-I70)*(D71-D70)/(D72-D70))</f>
        <v>2.4715000000000003</v>
      </c>
      <c r="P71" s="3"/>
      <c r="Q71" s="3">
        <f>IF(P72="","",VLOOKUP(P70+$F$1,P$9:Y$28,10,FALSE))</f>
        <v>20.85</v>
      </c>
      <c r="S71" s="2">
        <f>IF(P72="","",S70+(S72-S70)*(Q71-Q70)/(Q72-Q70))</f>
        <v>-1.6295000000000002</v>
      </c>
      <c r="T71" s="2">
        <f>IF(Q72="","",T70+(T72-T70)*(Q71-Q70)/(Q72-Q70))</f>
        <v>15.357500000000002</v>
      </c>
      <c r="U71" s="2">
        <f>IF(R72="","",U70+(U72-U70)*(Q71-Q70)/(Q72-Q70))</f>
        <v>1.4700000000000002</v>
      </c>
      <c r="V71" s="2">
        <f>IF(S72="","",V70+(V72-V70)*(Q71-Q70)/(Q72-Q70))</f>
        <v>2.1620000000000004</v>
      </c>
      <c r="AC71" s="3"/>
      <c r="AD71" s="3">
        <f>IF(AC72="","",VLOOKUP(AC70+$F$1,AC$9:AL$28,10,FALSE))</f>
        <v>20.85</v>
      </c>
      <c r="AF71" s="2">
        <f>IF(AC72="","",AF70+(AF72-AF70)*(AD71-AD70)/(AD72-AD70))</f>
        <v>-1.3015000000000001</v>
      </c>
      <c r="AG71" s="2">
        <f>IF(AD72="","",AG70+(AG72-AG70)*(AD71-AD70)/(AD72-AD70))</f>
        <v>12.285500000000001</v>
      </c>
      <c r="AH71" s="2">
        <f>IF(AE72="","",AH70+(AH72-AH70)*(AD71-AD70)/(AD72-AD70))</f>
        <v>1.1655000000000002</v>
      </c>
      <c r="AI71" s="2">
        <f>IF(AF72="","",AI70+(AI72-AI70)*(AD71-AD70)/(AD72-AD70))</f>
        <v>1.7145000000000001</v>
      </c>
      <c r="AP71" s="3"/>
      <c r="AQ71" s="3">
        <f>IF(AP72="","",VLOOKUP(AP70+$F$1,AP$9:AY$28,10,FALSE))</f>
        <v>20.85</v>
      </c>
      <c r="AS71" s="2">
        <f>IF(AP72="","",AS70+(AS72-AS70)*(AQ71-AQ70)/(AQ72-AQ70))</f>
        <v>-0.87400000000000011</v>
      </c>
      <c r="AT71" s="2">
        <f>IF(AQ72="","",AT70+(AT72-AT70)*(AQ71-AQ70)/(AQ72-AQ70))</f>
        <v>8.2430000000000003</v>
      </c>
      <c r="AU71" s="2">
        <f>IF(AR72="","",AU70+(AU72-AU70)*(AQ71-AQ70)/(AQ72-AQ70))</f>
        <v>0.77600000000000013</v>
      </c>
      <c r="AV71" s="2">
        <f>IF(AS72="","",AV70+(AV72-AV70)*(AQ71-AQ70)/(AQ72-AQ70))</f>
        <v>1.1415000000000002</v>
      </c>
      <c r="BC71" s="3"/>
      <c r="BD71" s="3">
        <f>IF(BC72="","",VLOOKUP(BC70+$F$1,BC$9:BL$28,10,FALSE))</f>
        <v>20.85</v>
      </c>
      <c r="BF71" s="2">
        <f>IF(BC72="","",BF70+(BF72-BF70)*(BD71-BD70)/(BD72-BD70))</f>
        <v>-0.39700000000000002</v>
      </c>
      <c r="BG71" s="2">
        <f>IF(BD72="","",BG70+(BG72-BG70)*(BD71-BD70)/(BD72-BD70))</f>
        <v>3.7080000000000002</v>
      </c>
      <c r="BH71" s="2">
        <f>IF(BE72="","",BH70+(BH72-BH70)*(BD71-BD70)/(BD72-BD70))</f>
        <v>0.34600000000000009</v>
      </c>
      <c r="BI71" s="2">
        <f>IF(BF72="","",BI70+(BI72-BI70)*(BD71-BD70)/(BD72-BD70))</f>
        <v>0.50950000000000006</v>
      </c>
      <c r="BP71" s="3"/>
      <c r="BQ71" s="3">
        <f>IF(BP72="","",VLOOKUP(BP70+$F$1,BP$9:BY$28,10,FALSE))</f>
        <v>20.85</v>
      </c>
      <c r="BS71" s="2">
        <f>IF(BP72="","",BS70+(BS72-BS70)*(BQ71-BQ70)/(BQ72-BQ70))</f>
        <v>-0.39700000000000002</v>
      </c>
      <c r="BT71" s="2">
        <f>IF(BQ72="","",BT70+(BT72-BT70)*(BQ71-BQ70)/(BQ72-BQ70))</f>
        <v>3.7080000000000002</v>
      </c>
      <c r="BU71" s="2">
        <f>IF(BR72="","",BU70+(BU72-BU70)*(BQ71-BQ70)/(BQ72-BQ70))</f>
        <v>0.34600000000000009</v>
      </c>
      <c r="BV71" s="2">
        <f>IF(BS72="","",BV70+(BV72-BV70)*(BQ71-BQ70)/(BQ72-BQ70))</f>
        <v>0.50950000000000006</v>
      </c>
    </row>
    <row r="72" spans="2:74">
      <c r="B72" s="1">
        <f>IF(C72="","",B70)</f>
        <v>5</v>
      </c>
      <c r="C72" s="1">
        <f>IF(C70&lt;$I$1,C70+1,"")</f>
        <v>7</v>
      </c>
      <c r="D72" s="3">
        <f>IF(C72="","",IF(Dati!$F25="",VLOOKUP(C72+$F$1,C$9:L$28,9,FALSE),Dati!$F25))</f>
        <v>22.65</v>
      </c>
      <c r="E72" s="1">
        <f>IF(C72="","",(C72-1+$F$1)*Modi!$B$51+2+($F$1-B72))</f>
        <v>57</v>
      </c>
      <c r="F72" s="2">
        <f>IF(C72="","",INDEX(SPO!$H:$H,E72,1))</f>
        <v>-1.9990000000000001</v>
      </c>
      <c r="G72" s="2">
        <f>IF(C72="","",INDEX(SPO!$I:$I,E72,1))</f>
        <v>18.699000000000002</v>
      </c>
      <c r="H72" s="2">
        <f>IF(C72="","",INDEX(SPO!$J:$J,E72,1))</f>
        <v>1.9219999999999999</v>
      </c>
      <c r="I72" s="2">
        <f>IF(C72="","",INDEX(SPO!$K:$K,E72,1))</f>
        <v>2.8279999999999998</v>
      </c>
      <c r="O72" s="1">
        <f>IF(P72="","",O70)</f>
        <v>4</v>
      </c>
      <c r="P72" s="1">
        <f>IF(P70&lt;$I$1,P70+1,"")</f>
        <v>7</v>
      </c>
      <c r="Q72" s="3">
        <f>IF(P72="","",IF(Dati!$F25="",VLOOKUP(P72+$F$1,P$9:Y$28,9,FALSE),Dati!$F25))</f>
        <v>22.65</v>
      </c>
      <c r="R72" s="1">
        <f>IF(P72="","",(P72-1+$F$1)*Modi!$B$51+2+($F$1-O72))</f>
        <v>58</v>
      </c>
      <c r="S72" s="2">
        <f>IF(P72="","",INDEX(SPO!$H:$H,R72,1))</f>
        <v>-1.76</v>
      </c>
      <c r="T72" s="2">
        <f>IF(P72="","",INDEX(SPO!$I:$I,R72,1))</f>
        <v>16.495000000000001</v>
      </c>
      <c r="U72" s="2">
        <f>IF(P72="","",INDEX(SPO!$J:$J,R72,1))</f>
        <v>1.6830000000000001</v>
      </c>
      <c r="V72" s="2">
        <f>IF(P72="","",INDEX(SPO!$K:$K,R72,1))</f>
        <v>2.4750000000000001</v>
      </c>
      <c r="AB72" s="1">
        <f>IF(AC72="","",AB70)</f>
        <v>3</v>
      </c>
      <c r="AC72" s="1">
        <f>IF(AC70&lt;$I$1,AC70+1,"")</f>
        <v>7</v>
      </c>
      <c r="AD72" s="3">
        <f>IF(AC72="","",IF(Dati!$F25="",VLOOKUP(AC72+$F$1,AC$9:AL$28,9,FALSE),Dati!$F25))</f>
        <v>22.65</v>
      </c>
      <c r="AE72" s="1">
        <f>IF(AC72="","",(AC72-1+$F$1)*Modi!$B$51+2+($F$1-AB72))</f>
        <v>59</v>
      </c>
      <c r="AF72" s="2">
        <f>IF(AC72="","",INDEX(SPO!$H:$H,AE72,1))</f>
        <v>-1.4079999999999999</v>
      </c>
      <c r="AG72" s="2">
        <f>IF(AC72="","",INDEX(SPO!$I:$I,AE72,1))</f>
        <v>13.19</v>
      </c>
      <c r="AH72" s="2">
        <f>IF(AC72="","",INDEX(SPO!$J:$J,AE72,1))</f>
        <v>1.335</v>
      </c>
      <c r="AI72" s="2">
        <f>IF(AC72="","",INDEX(SPO!$K:$K,AE72,1))</f>
        <v>1.964</v>
      </c>
      <c r="AO72" s="1">
        <f>IF(AP72="","",AO70)</f>
        <v>2</v>
      </c>
      <c r="AP72" s="1">
        <f>IF(AP70&lt;$I$1,AP70+1,"")</f>
        <v>7</v>
      </c>
      <c r="AQ72" s="3">
        <f>IF(AP72="","",IF(Dati!$F25="",VLOOKUP(AP72+$F$1,AP$9:AY$28,9,FALSE),Dati!$F25))</f>
        <v>22.65</v>
      </c>
      <c r="AR72" s="1">
        <f>IF(AP72="","",(AP72-1+$F$1)*Modi!$B$51+2+($F$1-AO72))</f>
        <v>60</v>
      </c>
      <c r="AS72" s="2">
        <f>IF(AP72="","",INDEX(SPO!$H:$H,AR72,1))</f>
        <v>-0.94799999999999995</v>
      </c>
      <c r="AT72" s="2">
        <f>IF(AP72="","",INDEX(SPO!$I:$I,AR72,1))</f>
        <v>8.843</v>
      </c>
      <c r="AU72" s="2">
        <f>IF(AP72="","",INDEX(SPO!$J:$J,AR72,1))</f>
        <v>0.89</v>
      </c>
      <c r="AV72" s="2">
        <f>IF(AP72="","",INDEX(SPO!$K:$K,AR72,1))</f>
        <v>1.3089999999999999</v>
      </c>
      <c r="BB72" s="1">
        <f>IF(BC72="","",BB70)</f>
        <v>1</v>
      </c>
      <c r="BC72" s="1">
        <f>IF(BC70&lt;$I$1,BC70+1,"")</f>
        <v>7</v>
      </c>
      <c r="BD72" s="3">
        <f>IF(BC72="","",IF(Dati!$F25="",VLOOKUP(BC72+$F$1,BC$9:BL$28,9,FALSE),Dati!$F25))</f>
        <v>22.65</v>
      </c>
      <c r="BE72" s="1">
        <f>IF(BC72="","",(BC72-1+$F$1)*Modi!$B$51+2+($F$1-BB72))</f>
        <v>61</v>
      </c>
      <c r="BF72" s="2">
        <f>IF(BC72="","",INDEX(SPO!$H:$H,BE72,1))</f>
        <v>-0.433</v>
      </c>
      <c r="BG72" s="2">
        <f>IF(BC72="","",INDEX(SPO!$I:$I,BE72,1))</f>
        <v>3.97</v>
      </c>
      <c r="BH72" s="2">
        <f>IF(BC72="","",INDEX(SPO!$J:$J,BE72,1))</f>
        <v>0.39800000000000002</v>
      </c>
      <c r="BI72" s="2">
        <f>IF(BC72="","",INDEX(SPO!$K:$K,BE72,1))</f>
        <v>0.58599999999999997</v>
      </c>
      <c r="BO72" s="1">
        <f>IF(BP72="","",BO70)</f>
        <v>1</v>
      </c>
      <c r="BP72" s="1">
        <f>IF(BP70&lt;$I$1,BP70+1,"")</f>
        <v>7</v>
      </c>
      <c r="BQ72" s="3">
        <f>IF(BP72="","",IF(Dati!$F25="",VLOOKUP(BP72+$F$1,BP$9:BY$28,9,FALSE),Dati!$F25))</f>
        <v>22.65</v>
      </c>
      <c r="BR72" s="1">
        <f>IF(BP72="","",(BP72-1+$F$1)*Modi!$B$51+2+($F$1-BO72))</f>
        <v>61</v>
      </c>
      <c r="BS72" s="2">
        <f>IF(BP72="","",INDEX(SPO!$H:$H,BR72,1))</f>
        <v>-0.433</v>
      </c>
      <c r="BT72" s="2">
        <f>IF(BP72="","",INDEX(SPO!$I:$I,BR72,1))</f>
        <v>3.97</v>
      </c>
      <c r="BU72" s="2">
        <f>IF(BP72="","",INDEX(SPO!$J:$J,BR72,1))</f>
        <v>0.39800000000000002</v>
      </c>
      <c r="BV72" s="2">
        <f>IF(BP72="","",INDEX(SPO!$K:$K,BR72,1))</f>
        <v>0.58599999999999997</v>
      </c>
    </row>
    <row r="73" spans="2:74">
      <c r="C73" s="3"/>
      <c r="D73" s="3" t="str">
        <f>IF(C74="","",VLOOKUP(C72+$F$1,C$9:L$28,10,FALSE))</f>
        <v/>
      </c>
      <c r="F73" s="2" t="str">
        <f>IF(C74="","",F72+(F74-F72)*(D73-D72)/(D74-D72))</f>
        <v/>
      </c>
      <c r="G73" s="2" t="str">
        <f>IF(D74="","",G72+(G74-G72)*(D73-D72)/(D74-D72))</f>
        <v/>
      </c>
      <c r="H73" s="2" t="str">
        <f>IF(E74="","",H72+(H74-H72)*(D73-D72)/(D74-D72))</f>
        <v/>
      </c>
      <c r="I73" s="2" t="str">
        <f>IF(F74="","",I72+(I74-I72)*(D73-D72)/(D74-D72))</f>
        <v/>
      </c>
      <c r="P73" s="3"/>
      <c r="Q73" s="3" t="str">
        <f>IF(P74="","",VLOOKUP(P72+$F$1,P$9:Y$28,10,FALSE))</f>
        <v/>
      </c>
      <c r="S73" s="2" t="str">
        <f>IF(P74="","",S72+(S74-S72)*(Q73-Q72)/(Q74-Q72))</f>
        <v/>
      </c>
      <c r="T73" s="2" t="str">
        <f>IF(Q74="","",T72+(T74-T72)*(Q73-Q72)/(Q74-Q72))</f>
        <v/>
      </c>
      <c r="U73" s="2" t="str">
        <f>IF(R74="","",U72+(U74-U72)*(Q73-Q72)/(Q74-Q72))</f>
        <v/>
      </c>
      <c r="V73" s="2" t="str">
        <f>IF(S74="","",V72+(V74-V72)*(Q73-Q72)/(Q74-Q72))</f>
        <v/>
      </c>
      <c r="AC73" s="3"/>
      <c r="AD73" s="3" t="str">
        <f>IF(AC74="","",VLOOKUP(AC72+$F$1,AC$9:AL$28,10,FALSE))</f>
        <v/>
      </c>
      <c r="AF73" s="2" t="str">
        <f>IF(AC74="","",AF72+(AF74-AF72)*(AD73-AD72)/(AD74-AD72))</f>
        <v/>
      </c>
      <c r="AG73" s="2" t="str">
        <f>IF(AD74="","",AG72+(AG74-AG72)*(AD73-AD72)/(AD74-AD72))</f>
        <v/>
      </c>
      <c r="AH73" s="2" t="str">
        <f>IF(AE74="","",AH72+(AH74-AH72)*(AD73-AD72)/(AD74-AD72))</f>
        <v/>
      </c>
      <c r="AI73" s="2" t="str">
        <f>IF(AF74="","",AI72+(AI74-AI72)*(AD73-AD72)/(AD74-AD72))</f>
        <v/>
      </c>
      <c r="AP73" s="3"/>
      <c r="AQ73" s="3" t="str">
        <f>IF(AP74="","",VLOOKUP(AP72+$F$1,AP$9:AY$28,10,FALSE))</f>
        <v/>
      </c>
      <c r="AS73" s="2" t="str">
        <f>IF(AP74="","",AS72+(AS74-AS72)*(AQ73-AQ72)/(AQ74-AQ72))</f>
        <v/>
      </c>
      <c r="AT73" s="2" t="str">
        <f>IF(AQ74="","",AT72+(AT74-AT72)*(AQ73-AQ72)/(AQ74-AQ72))</f>
        <v/>
      </c>
      <c r="AU73" s="2" t="str">
        <f>IF(AR74="","",AU72+(AU74-AU72)*(AQ73-AQ72)/(AQ74-AQ72))</f>
        <v/>
      </c>
      <c r="AV73" s="2" t="str">
        <f>IF(AS74="","",AV72+(AV74-AV72)*(AQ73-AQ72)/(AQ74-AQ72))</f>
        <v/>
      </c>
      <c r="BC73" s="3"/>
      <c r="BD73" s="3" t="str">
        <f>IF(BC74="","",VLOOKUP(BC72+$F$1,BC$9:BL$28,10,FALSE))</f>
        <v/>
      </c>
      <c r="BF73" s="2" t="str">
        <f>IF(BC74="","",BF72+(BF74-BF72)*(BD73-BD72)/(BD74-BD72))</f>
        <v/>
      </c>
      <c r="BG73" s="2" t="str">
        <f>IF(BD74="","",BG72+(BG74-BG72)*(BD73-BD72)/(BD74-BD72))</f>
        <v/>
      </c>
      <c r="BH73" s="2" t="str">
        <f>IF(BE74="","",BH72+(BH74-BH72)*(BD73-BD72)/(BD74-BD72))</f>
        <v/>
      </c>
      <c r="BI73" s="2" t="str">
        <f>IF(BF74="","",BI72+(BI74-BI72)*(BD73-BD72)/(BD74-BD72))</f>
        <v/>
      </c>
      <c r="BP73" s="3"/>
      <c r="BQ73" s="3" t="str">
        <f>IF(BP74="","",VLOOKUP(BP72+$F$1,BP$9:BY$28,10,FALSE))</f>
        <v/>
      </c>
      <c r="BS73" s="2" t="str">
        <f>IF(BP74="","",BS72+(BS74-BS72)*(BQ73-BQ72)/(BQ74-BQ72))</f>
        <v/>
      </c>
      <c r="BT73" s="2" t="str">
        <f>IF(BQ74="","",BT72+(BT74-BT72)*(BQ73-BQ72)/(BQ74-BQ72))</f>
        <v/>
      </c>
      <c r="BU73" s="2" t="str">
        <f>IF(BR74="","",BU72+(BU74-BU72)*(BQ73-BQ72)/(BQ74-BQ72))</f>
        <v/>
      </c>
      <c r="BV73" s="2" t="str">
        <f>IF(BS74="","",BV72+(BV74-BV72)*(BQ73-BQ72)/(BQ74-BQ72))</f>
        <v/>
      </c>
    </row>
    <row r="74" spans="2:74">
      <c r="B74" s="1" t="str">
        <f>IF(C74="","",B72)</f>
        <v/>
      </c>
      <c r="C74" s="1" t="str">
        <f>IF(C72&lt;$I$1,C72+1,"")</f>
        <v/>
      </c>
      <c r="D74" s="3" t="str">
        <f>IF(C74="","",IF(Dati!$F26="",VLOOKUP(C74+$F$1,C$9:L$28,9,FALSE),Dati!$F26))</f>
        <v/>
      </c>
      <c r="E74" s="1" t="str">
        <f>IF(C74="","",(C74-1+$F$1)*Modi!$B$51+2+($F$1-B74))</f>
        <v/>
      </c>
      <c r="F74" s="2" t="str">
        <f>IF(C74="","",INDEX(SPO!$H:$H,E74,1))</f>
        <v/>
      </c>
      <c r="G74" s="2" t="str">
        <f>IF(C74="","",INDEX(SPO!$I:$I,E74,1))</f>
        <v/>
      </c>
      <c r="H74" s="2" t="str">
        <f>IF(C74="","",INDEX(SPO!$J:$J,E74,1))</f>
        <v/>
      </c>
      <c r="I74" s="2" t="str">
        <f>IF(C74="","",INDEX(SPO!$K:$K,E74,1))</f>
        <v/>
      </c>
      <c r="O74" s="1" t="str">
        <f>IF(P74="","",O72)</f>
        <v/>
      </c>
      <c r="P74" s="1" t="str">
        <f>IF(P72&lt;$I$1,P72+1,"")</f>
        <v/>
      </c>
      <c r="Q74" s="3" t="str">
        <f>IF(P74="","",IF(Dati!$F26="",VLOOKUP(P74+$F$1,P$9:Y$28,9,FALSE),Dati!$F26))</f>
        <v/>
      </c>
      <c r="R74" s="1" t="str">
        <f>IF(P74="","",(P74-1+$F$1)*Modi!$B$51+2+($F$1-O74))</f>
        <v/>
      </c>
      <c r="S74" s="2" t="str">
        <f>IF(P74="","",INDEX(SPO!$H:$H,R74,1))</f>
        <v/>
      </c>
      <c r="T74" s="2" t="str">
        <f>IF(P74="","",INDEX(SPO!$I:$I,R74,1))</f>
        <v/>
      </c>
      <c r="U74" s="2" t="str">
        <f>IF(P74="","",INDEX(SPO!$J:$J,R74,1))</f>
        <v/>
      </c>
      <c r="V74" s="2" t="str">
        <f>IF(P74="","",INDEX(SPO!$K:$K,R74,1))</f>
        <v/>
      </c>
      <c r="AB74" s="1" t="str">
        <f>IF(AC74="","",AB72)</f>
        <v/>
      </c>
      <c r="AC74" s="1" t="str">
        <f>IF(AC72&lt;$I$1,AC72+1,"")</f>
        <v/>
      </c>
      <c r="AD74" s="3" t="str">
        <f>IF(AC74="","",IF(Dati!$F26="",VLOOKUP(AC74+$F$1,AC$9:AL$28,9,FALSE),Dati!$F26))</f>
        <v/>
      </c>
      <c r="AE74" s="1" t="str">
        <f>IF(AC74="","",(AC74-1+$F$1)*Modi!$B$51+2+($F$1-AB74))</f>
        <v/>
      </c>
      <c r="AF74" s="2" t="str">
        <f>IF(AC74="","",INDEX(SPO!$H:$H,AE74,1))</f>
        <v/>
      </c>
      <c r="AG74" s="2" t="str">
        <f>IF(AC74="","",INDEX(SPO!$I:$I,AE74,1))</f>
        <v/>
      </c>
      <c r="AH74" s="2" t="str">
        <f>IF(AC74="","",INDEX(SPO!$J:$J,AE74,1))</f>
        <v/>
      </c>
      <c r="AI74" s="2" t="str">
        <f>IF(AC74="","",INDEX(SPO!$K:$K,AE74,1))</f>
        <v/>
      </c>
      <c r="AO74" s="1" t="str">
        <f>IF(AP74="","",AO72)</f>
        <v/>
      </c>
      <c r="AP74" s="1" t="str">
        <f>IF(AP72&lt;$I$1,AP72+1,"")</f>
        <v/>
      </c>
      <c r="AQ74" s="3" t="str">
        <f>IF(AP74="","",IF(Dati!$F26="",VLOOKUP(AP74+$F$1,AP$9:AY$28,9,FALSE),Dati!$F26))</f>
        <v/>
      </c>
      <c r="AR74" s="1" t="str">
        <f>IF(AP74="","",(AP74-1+$F$1)*Modi!$B$51+2+($F$1-AO74))</f>
        <v/>
      </c>
      <c r="AS74" s="2" t="str">
        <f>IF(AP74="","",INDEX(SPO!$H:$H,AR74,1))</f>
        <v/>
      </c>
      <c r="AT74" s="2" t="str">
        <f>IF(AP74="","",INDEX(SPO!$I:$I,AR74,1))</f>
        <v/>
      </c>
      <c r="AU74" s="2" t="str">
        <f>IF(AP74="","",INDEX(SPO!$J:$J,AR74,1))</f>
        <v/>
      </c>
      <c r="AV74" s="2" t="str">
        <f>IF(AP74="","",INDEX(SPO!$K:$K,AR74,1))</f>
        <v/>
      </c>
      <c r="BB74" s="1" t="str">
        <f>IF(BC74="","",BB72)</f>
        <v/>
      </c>
      <c r="BC74" s="1" t="str">
        <f>IF(BC72&lt;$I$1,BC72+1,"")</f>
        <v/>
      </c>
      <c r="BD74" s="3" t="str">
        <f>IF(BC74="","",IF(Dati!$F26="",VLOOKUP(BC74+$F$1,BC$9:BL$28,9,FALSE),Dati!$F26))</f>
        <v/>
      </c>
      <c r="BE74" s="1" t="str">
        <f>IF(BC74="","",(BC74-1+$F$1)*Modi!$B$51+2+($F$1-BB74))</f>
        <v/>
      </c>
      <c r="BF74" s="2" t="str">
        <f>IF(BC74="","",INDEX(SPO!$H:$H,BE74,1))</f>
        <v/>
      </c>
      <c r="BG74" s="2" t="str">
        <f>IF(BC74="","",INDEX(SPO!$I:$I,BE74,1))</f>
        <v/>
      </c>
      <c r="BH74" s="2" t="str">
        <f>IF(BC74="","",INDEX(SPO!$J:$J,BE74,1))</f>
        <v/>
      </c>
      <c r="BI74" s="2" t="str">
        <f>IF(BC74="","",INDEX(SPO!$K:$K,BE74,1))</f>
        <v/>
      </c>
      <c r="BO74" s="1" t="str">
        <f>IF(BP74="","",BO72)</f>
        <v/>
      </c>
      <c r="BP74" s="1" t="str">
        <f>IF(BP72&lt;$I$1,BP72+1,"")</f>
        <v/>
      </c>
      <c r="BQ74" s="3" t="str">
        <f>IF(BP74="","",IF(Dati!$F26="",VLOOKUP(BP74+$F$1,BP$9:BY$28,9,FALSE),Dati!$F26))</f>
        <v/>
      </c>
      <c r="BR74" s="1" t="str">
        <f>IF(BP74="","",(BP74-1+$F$1)*Modi!$B$51+2+($F$1-BO74))</f>
        <v/>
      </c>
      <c r="BS74" s="2" t="str">
        <f>IF(BP74="","",INDEX(SPO!$H:$H,BR74,1))</f>
        <v/>
      </c>
      <c r="BT74" s="2" t="str">
        <f>IF(BP74="","",INDEX(SPO!$I:$I,BR74,1))</f>
        <v/>
      </c>
      <c r="BU74" s="2" t="str">
        <f>IF(BP74="","",INDEX(SPO!$J:$J,BR74,1))</f>
        <v/>
      </c>
      <c r="BV74" s="2" t="str">
        <f>IF(BP74="","",INDEX(SPO!$K:$K,BR74,1))</f>
        <v/>
      </c>
    </row>
    <row r="75" spans="2:74">
      <c r="C75" s="3"/>
      <c r="D75" s="3" t="str">
        <f>IF(C76="","",VLOOKUP(C74+$F$1,C$9:L$28,10,FALSE))</f>
        <v/>
      </c>
      <c r="F75" s="2" t="str">
        <f>IF(C76="","",F74+(F76-F74)*(D75-D74)/(D76-D74))</f>
        <v/>
      </c>
      <c r="G75" s="2" t="str">
        <f>IF(D76="","",G74+(G76-G74)*(D75-D74)/(D76-D74))</f>
        <v/>
      </c>
      <c r="H75" s="2" t="str">
        <f>IF(E76="","",H74+(H76-H74)*(D75-D74)/(D76-D74))</f>
        <v/>
      </c>
      <c r="I75" s="2" t="str">
        <f>IF(F76="","",I74+(I76-I74)*(D75-D74)/(D76-D74))</f>
        <v/>
      </c>
      <c r="P75" s="3"/>
      <c r="Q75" s="3" t="str">
        <f>IF(P76="","",VLOOKUP(P74+$F$1,P$9:Y$28,10,FALSE))</f>
        <v/>
      </c>
      <c r="S75" s="2" t="str">
        <f>IF(P76="","",S74+(S76-S74)*(Q75-Q74)/(Q76-Q74))</f>
        <v/>
      </c>
      <c r="T75" s="2" t="str">
        <f>IF(Q76="","",T74+(T76-T74)*(Q75-Q74)/(Q76-Q74))</f>
        <v/>
      </c>
      <c r="U75" s="2" t="str">
        <f>IF(R76="","",U74+(U76-U74)*(Q75-Q74)/(Q76-Q74))</f>
        <v/>
      </c>
      <c r="V75" s="2" t="str">
        <f>IF(S76="","",V74+(V76-V74)*(Q75-Q74)/(Q76-Q74))</f>
        <v/>
      </c>
      <c r="AC75" s="3"/>
      <c r="AD75" s="3" t="str">
        <f>IF(AC76="","",VLOOKUP(AC74+$F$1,AC$9:AL$28,10,FALSE))</f>
        <v/>
      </c>
      <c r="AF75" s="2" t="str">
        <f>IF(AC76="","",AF74+(AF76-AF74)*(AD75-AD74)/(AD76-AD74))</f>
        <v/>
      </c>
      <c r="AG75" s="2" t="str">
        <f>IF(AD76="","",AG74+(AG76-AG74)*(AD75-AD74)/(AD76-AD74))</f>
        <v/>
      </c>
      <c r="AH75" s="2" t="str">
        <f>IF(AE76="","",AH74+(AH76-AH74)*(AD75-AD74)/(AD76-AD74))</f>
        <v/>
      </c>
      <c r="AI75" s="2" t="str">
        <f>IF(AF76="","",AI74+(AI76-AI74)*(AD75-AD74)/(AD76-AD74))</f>
        <v/>
      </c>
      <c r="AP75" s="3"/>
      <c r="AQ75" s="3" t="str">
        <f>IF(AP76="","",VLOOKUP(AP74+$F$1,AP$9:AY$28,10,FALSE))</f>
        <v/>
      </c>
      <c r="AS75" s="2" t="str">
        <f>IF(AP76="","",AS74+(AS76-AS74)*(AQ75-AQ74)/(AQ76-AQ74))</f>
        <v/>
      </c>
      <c r="AT75" s="2" t="str">
        <f>IF(AQ76="","",AT74+(AT76-AT74)*(AQ75-AQ74)/(AQ76-AQ74))</f>
        <v/>
      </c>
      <c r="AU75" s="2" t="str">
        <f>IF(AR76="","",AU74+(AU76-AU74)*(AQ75-AQ74)/(AQ76-AQ74))</f>
        <v/>
      </c>
      <c r="AV75" s="2" t="str">
        <f>IF(AS76="","",AV74+(AV76-AV74)*(AQ75-AQ74)/(AQ76-AQ74))</f>
        <v/>
      </c>
      <c r="BC75" s="3"/>
      <c r="BD75" s="3" t="str">
        <f>IF(BC76="","",VLOOKUP(BC74+$F$1,BC$9:BL$28,10,FALSE))</f>
        <v/>
      </c>
      <c r="BF75" s="2" t="str">
        <f>IF(BC76="","",BF74+(BF76-BF74)*(BD75-BD74)/(BD76-BD74))</f>
        <v/>
      </c>
      <c r="BG75" s="2" t="str">
        <f>IF(BD76="","",BG74+(BG76-BG74)*(BD75-BD74)/(BD76-BD74))</f>
        <v/>
      </c>
      <c r="BH75" s="2" t="str">
        <f>IF(BE76="","",BH74+(BH76-BH74)*(BD75-BD74)/(BD76-BD74))</f>
        <v/>
      </c>
      <c r="BI75" s="2" t="str">
        <f>IF(BF76="","",BI74+(BI76-BI74)*(BD75-BD74)/(BD76-BD74))</f>
        <v/>
      </c>
      <c r="BP75" s="3"/>
      <c r="BQ75" s="3" t="str">
        <f>IF(BP76="","",VLOOKUP(BP74+$F$1,BP$9:BY$28,10,FALSE))</f>
        <v/>
      </c>
      <c r="BS75" s="2" t="str">
        <f>IF(BP76="","",BS74+(BS76-BS74)*(BQ75-BQ74)/(BQ76-BQ74))</f>
        <v/>
      </c>
      <c r="BT75" s="2" t="str">
        <f>IF(BQ76="","",BT74+(BT76-BT74)*(BQ75-BQ74)/(BQ76-BQ74))</f>
        <v/>
      </c>
      <c r="BU75" s="2" t="str">
        <f>IF(BR76="","",BU74+(BU76-BU74)*(BQ75-BQ74)/(BQ76-BQ74))</f>
        <v/>
      </c>
      <c r="BV75" s="2" t="str">
        <f>IF(BS76="","",BV74+(BV76-BV74)*(BQ75-BQ74)/(BQ76-BQ74))</f>
        <v/>
      </c>
    </row>
    <row r="76" spans="2:74">
      <c r="B76" s="1" t="str">
        <f>IF(C76="","",B74)</f>
        <v/>
      </c>
      <c r="C76" s="1" t="str">
        <f>IF(C74&lt;$I$1,C74+1,"")</f>
        <v/>
      </c>
      <c r="D76" s="3" t="str">
        <f>IF(C76="","",IF(Dati!$F27="",VLOOKUP(C76+$F$1,C$9:L$28,9,FALSE),Dati!$F27))</f>
        <v/>
      </c>
      <c r="E76" s="1" t="str">
        <f>IF(C76="","",(C76-1+$F$1)*Modi!$B$51+2+($F$1-B76))</f>
        <v/>
      </c>
      <c r="F76" s="2" t="str">
        <f>IF(C76="","",INDEX(SPO!$H:$H,E76,1))</f>
        <v/>
      </c>
      <c r="G76" s="2" t="str">
        <f>IF(C76="","",INDEX(SPO!$I:$I,E76,1))</f>
        <v/>
      </c>
      <c r="H76" s="2" t="str">
        <f>IF(C76="","",INDEX(SPO!$J:$J,E76,1))</f>
        <v/>
      </c>
      <c r="I76" s="2" t="str">
        <f>IF(C76="","",INDEX(SPO!$K:$K,E76,1))</f>
        <v/>
      </c>
      <c r="O76" s="1" t="str">
        <f>IF(P76="","",O74)</f>
        <v/>
      </c>
      <c r="P76" s="1" t="str">
        <f>IF(P74&lt;$I$1,P74+1,"")</f>
        <v/>
      </c>
      <c r="Q76" s="3" t="str">
        <f>IF(P76="","",IF(Dati!$F27="",VLOOKUP(P76+$F$1,P$9:Y$28,9,FALSE),Dati!$F27))</f>
        <v/>
      </c>
      <c r="R76" s="1" t="str">
        <f>IF(P76="","",(P76-1+$F$1)*Modi!$B$51+2+($F$1-O76))</f>
        <v/>
      </c>
      <c r="S76" s="2" t="str">
        <f>IF(P76="","",INDEX(SPO!$H:$H,R76,1))</f>
        <v/>
      </c>
      <c r="T76" s="2" t="str">
        <f>IF(P76="","",INDEX(SPO!$I:$I,R76,1))</f>
        <v/>
      </c>
      <c r="U76" s="2" t="str">
        <f>IF(P76="","",INDEX(SPO!$J:$J,R76,1))</f>
        <v/>
      </c>
      <c r="V76" s="2" t="str">
        <f>IF(P76="","",INDEX(SPO!$K:$K,R76,1))</f>
        <v/>
      </c>
      <c r="AB76" s="1" t="str">
        <f>IF(AC76="","",AB74)</f>
        <v/>
      </c>
      <c r="AC76" s="1" t="str">
        <f>IF(AC74&lt;$I$1,AC74+1,"")</f>
        <v/>
      </c>
      <c r="AD76" s="3" t="str">
        <f>IF(AC76="","",IF(Dati!$F27="",VLOOKUP(AC76+$F$1,AC$9:AL$28,9,FALSE),Dati!$F27))</f>
        <v/>
      </c>
      <c r="AE76" s="1" t="str">
        <f>IF(AC76="","",(AC76-1+$F$1)*Modi!$B$51+2+($F$1-AB76))</f>
        <v/>
      </c>
      <c r="AF76" s="2" t="str">
        <f>IF(AC76="","",INDEX(SPO!$H:$H,AE76,1))</f>
        <v/>
      </c>
      <c r="AG76" s="2" t="str">
        <f>IF(AC76="","",INDEX(SPO!$I:$I,AE76,1))</f>
        <v/>
      </c>
      <c r="AH76" s="2" t="str">
        <f>IF(AC76="","",INDEX(SPO!$J:$J,AE76,1))</f>
        <v/>
      </c>
      <c r="AI76" s="2" t="str">
        <f>IF(AC76="","",INDEX(SPO!$K:$K,AE76,1))</f>
        <v/>
      </c>
      <c r="AO76" s="1" t="str">
        <f>IF(AP76="","",AO74)</f>
        <v/>
      </c>
      <c r="AP76" s="1" t="str">
        <f>IF(AP74&lt;$I$1,AP74+1,"")</f>
        <v/>
      </c>
      <c r="AQ76" s="3" t="str">
        <f>IF(AP76="","",IF(Dati!$F27="",VLOOKUP(AP76+$F$1,AP$9:AY$28,9,FALSE),Dati!$F27))</f>
        <v/>
      </c>
      <c r="AR76" s="1" t="str">
        <f>IF(AP76="","",(AP76-1+$F$1)*Modi!$B$51+2+($F$1-AO76))</f>
        <v/>
      </c>
      <c r="AS76" s="2" t="str">
        <f>IF(AP76="","",INDEX(SPO!$H:$H,AR76,1))</f>
        <v/>
      </c>
      <c r="AT76" s="2" t="str">
        <f>IF(AP76="","",INDEX(SPO!$I:$I,AR76,1))</f>
        <v/>
      </c>
      <c r="AU76" s="2" t="str">
        <f>IF(AP76="","",INDEX(SPO!$J:$J,AR76,1))</f>
        <v/>
      </c>
      <c r="AV76" s="2" t="str">
        <f>IF(AP76="","",INDEX(SPO!$K:$K,AR76,1))</f>
        <v/>
      </c>
      <c r="BB76" s="1" t="str">
        <f>IF(BC76="","",BB74)</f>
        <v/>
      </c>
      <c r="BC76" s="1" t="str">
        <f>IF(BC74&lt;$I$1,BC74+1,"")</f>
        <v/>
      </c>
      <c r="BD76" s="3" t="str">
        <f>IF(BC76="","",IF(Dati!$F27="",VLOOKUP(BC76+$F$1,BC$9:BL$28,9,FALSE),Dati!$F27))</f>
        <v/>
      </c>
      <c r="BE76" s="1" t="str">
        <f>IF(BC76="","",(BC76-1+$F$1)*Modi!$B$51+2+($F$1-BB76))</f>
        <v/>
      </c>
      <c r="BF76" s="2" t="str">
        <f>IF(BC76="","",INDEX(SPO!$H:$H,BE76,1))</f>
        <v/>
      </c>
      <c r="BG76" s="2" t="str">
        <f>IF(BC76="","",INDEX(SPO!$I:$I,BE76,1))</f>
        <v/>
      </c>
      <c r="BH76" s="2" t="str">
        <f>IF(BC76="","",INDEX(SPO!$J:$J,BE76,1))</f>
        <v/>
      </c>
      <c r="BI76" s="2" t="str">
        <f>IF(BC76="","",INDEX(SPO!$K:$K,BE76,1))</f>
        <v/>
      </c>
      <c r="BO76" s="1" t="str">
        <f>IF(BP76="","",BO74)</f>
        <v/>
      </c>
      <c r="BP76" s="1" t="str">
        <f>IF(BP74&lt;$I$1,BP74+1,"")</f>
        <v/>
      </c>
      <c r="BQ76" s="3" t="str">
        <f>IF(BP76="","",IF(Dati!$F27="",VLOOKUP(BP76+$F$1,BP$9:BY$28,9,FALSE),Dati!$F27))</f>
        <v/>
      </c>
      <c r="BR76" s="1" t="str">
        <f>IF(BP76="","",(BP76-1+$F$1)*Modi!$B$51+2+($F$1-BO76))</f>
        <v/>
      </c>
      <c r="BS76" s="2" t="str">
        <f>IF(BP76="","",INDEX(SPO!$H:$H,BR76,1))</f>
        <v/>
      </c>
      <c r="BT76" s="2" t="str">
        <f>IF(BP76="","",INDEX(SPO!$I:$I,BR76,1))</f>
        <v/>
      </c>
      <c r="BU76" s="2" t="str">
        <f>IF(BP76="","",INDEX(SPO!$J:$J,BR76,1))</f>
        <v/>
      </c>
      <c r="BV76" s="2" t="str">
        <f>IF(BP76="","",INDEX(SPO!$K:$K,BR76,1))</f>
        <v/>
      </c>
    </row>
    <row r="77" spans="2:74">
      <c r="C77" s="3"/>
      <c r="D77" s="3" t="str">
        <f>IF(C78="","",VLOOKUP(C76+$F$1,C$9:L$28,10,FALSE))</f>
        <v/>
      </c>
      <c r="F77" s="2" t="str">
        <f>IF(C78="","",F76+(F78-F76)*(D77-D76)/(D78-D76))</f>
        <v/>
      </c>
      <c r="G77" s="2" t="str">
        <f>IF(D78="","",G76+(G78-G76)*(D77-D76)/(D78-D76))</f>
        <v/>
      </c>
      <c r="H77" s="2" t="str">
        <f>IF(E78="","",H76+(H78-H76)*(D77-D76)/(D78-D76))</f>
        <v/>
      </c>
      <c r="I77" s="2" t="str">
        <f>IF(F78="","",I76+(I78-I76)*(D77-D76)/(D78-D76))</f>
        <v/>
      </c>
      <c r="P77" s="3"/>
      <c r="Q77" s="3" t="str">
        <f>IF(P78="","",VLOOKUP(P76+$F$1,P$9:Y$28,10,FALSE))</f>
        <v/>
      </c>
      <c r="S77" s="2" t="str">
        <f>IF(P78="","",S76+(S78-S76)*(Q77-Q76)/(Q78-Q76))</f>
        <v/>
      </c>
      <c r="T77" s="2" t="str">
        <f>IF(Q78="","",T76+(T78-T76)*(Q77-Q76)/(Q78-Q76))</f>
        <v/>
      </c>
      <c r="U77" s="2" t="str">
        <f>IF(R78="","",U76+(U78-U76)*(Q77-Q76)/(Q78-Q76))</f>
        <v/>
      </c>
      <c r="V77" s="2" t="str">
        <f>IF(S78="","",V76+(V78-V76)*(Q77-Q76)/(Q78-Q76))</f>
        <v/>
      </c>
      <c r="AC77" s="3"/>
      <c r="AD77" s="3" t="str">
        <f>IF(AC78="","",VLOOKUP(AC76+$F$1,AC$9:AL$28,10,FALSE))</f>
        <v/>
      </c>
      <c r="AF77" s="2" t="str">
        <f>IF(AC78="","",AF76+(AF78-AF76)*(AD77-AD76)/(AD78-AD76))</f>
        <v/>
      </c>
      <c r="AG77" s="2" t="str">
        <f>IF(AD78="","",AG76+(AG78-AG76)*(AD77-AD76)/(AD78-AD76))</f>
        <v/>
      </c>
      <c r="AH77" s="2" t="str">
        <f>IF(AE78="","",AH76+(AH78-AH76)*(AD77-AD76)/(AD78-AD76))</f>
        <v/>
      </c>
      <c r="AI77" s="2" t="str">
        <f>IF(AF78="","",AI76+(AI78-AI76)*(AD77-AD76)/(AD78-AD76))</f>
        <v/>
      </c>
      <c r="AP77" s="3"/>
      <c r="AQ77" s="3" t="str">
        <f>IF(AP78="","",VLOOKUP(AP76+$F$1,AP$9:AY$28,10,FALSE))</f>
        <v/>
      </c>
      <c r="AS77" s="2" t="str">
        <f>IF(AP78="","",AS76+(AS78-AS76)*(AQ77-AQ76)/(AQ78-AQ76))</f>
        <v/>
      </c>
      <c r="AT77" s="2" t="str">
        <f>IF(AQ78="","",AT76+(AT78-AT76)*(AQ77-AQ76)/(AQ78-AQ76))</f>
        <v/>
      </c>
      <c r="AU77" s="2" t="str">
        <f>IF(AR78="","",AU76+(AU78-AU76)*(AQ77-AQ76)/(AQ78-AQ76))</f>
        <v/>
      </c>
      <c r="AV77" s="2" t="str">
        <f>IF(AS78="","",AV76+(AV78-AV76)*(AQ77-AQ76)/(AQ78-AQ76))</f>
        <v/>
      </c>
      <c r="BC77" s="3"/>
      <c r="BD77" s="3" t="str">
        <f>IF(BC78="","",VLOOKUP(BC76+$F$1,BC$9:BL$28,10,FALSE))</f>
        <v/>
      </c>
      <c r="BF77" s="2" t="str">
        <f>IF(BC78="","",BF76+(BF78-BF76)*(BD77-BD76)/(BD78-BD76))</f>
        <v/>
      </c>
      <c r="BG77" s="2" t="str">
        <f>IF(BD78="","",BG76+(BG78-BG76)*(BD77-BD76)/(BD78-BD76))</f>
        <v/>
      </c>
      <c r="BH77" s="2" t="str">
        <f>IF(BE78="","",BH76+(BH78-BH76)*(BD77-BD76)/(BD78-BD76))</f>
        <v/>
      </c>
      <c r="BI77" s="2" t="str">
        <f>IF(BF78="","",BI76+(BI78-BI76)*(BD77-BD76)/(BD78-BD76))</f>
        <v/>
      </c>
      <c r="BP77" s="3"/>
      <c r="BQ77" s="3" t="str">
        <f>IF(BP78="","",VLOOKUP(BP76+$F$1,BP$9:BY$28,10,FALSE))</f>
        <v/>
      </c>
      <c r="BS77" s="2" t="str">
        <f>IF(BP78="","",BS76+(BS78-BS76)*(BQ77-BQ76)/(BQ78-BQ76))</f>
        <v/>
      </c>
      <c r="BT77" s="2" t="str">
        <f>IF(BQ78="","",BT76+(BT78-BT76)*(BQ77-BQ76)/(BQ78-BQ76))</f>
        <v/>
      </c>
      <c r="BU77" s="2" t="str">
        <f>IF(BR78="","",BU76+(BU78-BU76)*(BQ77-BQ76)/(BQ78-BQ76))</f>
        <v/>
      </c>
      <c r="BV77" s="2" t="str">
        <f>IF(BS78="","",BV76+(BV78-BV76)*(BQ77-BQ76)/(BQ78-BQ76))</f>
        <v/>
      </c>
    </row>
    <row r="78" spans="2:74">
      <c r="B78" s="1" t="str">
        <f>IF(C78="","",B76)</f>
        <v/>
      </c>
      <c r="C78" s="1" t="str">
        <f>IF(C76&lt;$I$1,C76+1,"")</f>
        <v/>
      </c>
      <c r="D78" s="3" t="str">
        <f>IF(C78="","",IF(Dati!$F28="",VLOOKUP(C78+$F$1,C$9:L$28,9,FALSE),Dati!$F28))</f>
        <v/>
      </c>
      <c r="E78" s="1" t="str">
        <f>IF(C78="","",(C78-1+$F$1)*Modi!$B$51+2+($F$1-B78))</f>
        <v/>
      </c>
      <c r="F78" s="2" t="str">
        <f>IF(C78="","",INDEX(SPO!$H:$H,E78,1))</f>
        <v/>
      </c>
      <c r="G78" s="2" t="str">
        <f>IF(C78="","",INDEX(SPO!$I:$I,E78,1))</f>
        <v/>
      </c>
      <c r="H78" s="2" t="str">
        <f>IF(C78="","",INDEX(SPO!$J:$J,E78,1))</f>
        <v/>
      </c>
      <c r="I78" s="2" t="str">
        <f>IF(C78="","",INDEX(SPO!$K:$K,E78,1))</f>
        <v/>
      </c>
      <c r="O78" s="1" t="str">
        <f>IF(P78="","",O76)</f>
        <v/>
      </c>
      <c r="P78" s="1" t="str">
        <f>IF(P76&lt;$I$1,P76+1,"")</f>
        <v/>
      </c>
      <c r="Q78" s="3" t="str">
        <f>IF(P78="","",IF(Dati!$F28="",VLOOKUP(P78+$F$1,P$9:Y$28,9,FALSE),Dati!$F28))</f>
        <v/>
      </c>
      <c r="R78" s="1" t="str">
        <f>IF(P78="","",(P78-1+$F$1)*Modi!$B$51+2+($F$1-O78))</f>
        <v/>
      </c>
      <c r="S78" s="2" t="str">
        <f>IF(P78="","",INDEX(SPO!$H:$H,R78,1))</f>
        <v/>
      </c>
      <c r="T78" s="2" t="str">
        <f>IF(P78="","",INDEX(SPO!$I:$I,R78,1))</f>
        <v/>
      </c>
      <c r="U78" s="2" t="str">
        <f>IF(P78="","",INDEX(SPO!$J:$J,R78,1))</f>
        <v/>
      </c>
      <c r="V78" s="2" t="str">
        <f>IF(P78="","",INDEX(SPO!$K:$K,R78,1))</f>
        <v/>
      </c>
      <c r="AB78" s="1" t="str">
        <f>IF(AC78="","",AB76)</f>
        <v/>
      </c>
      <c r="AC78" s="1" t="str">
        <f>IF(AC76&lt;$I$1,AC76+1,"")</f>
        <v/>
      </c>
      <c r="AD78" s="3" t="str">
        <f>IF(AC78="","",IF(Dati!$F28="",VLOOKUP(AC78+$F$1,AC$9:AL$28,9,FALSE),Dati!$F28))</f>
        <v/>
      </c>
      <c r="AE78" s="1" t="str">
        <f>IF(AC78="","",(AC78-1+$F$1)*Modi!$B$51+2+($F$1-AB78))</f>
        <v/>
      </c>
      <c r="AF78" s="2" t="str">
        <f>IF(AC78="","",INDEX(SPO!$H:$H,AE78,1))</f>
        <v/>
      </c>
      <c r="AG78" s="2" t="str">
        <f>IF(AC78="","",INDEX(SPO!$I:$I,AE78,1))</f>
        <v/>
      </c>
      <c r="AH78" s="2" t="str">
        <f>IF(AC78="","",INDEX(SPO!$J:$J,AE78,1))</f>
        <v/>
      </c>
      <c r="AI78" s="2" t="str">
        <f>IF(AC78="","",INDEX(SPO!$K:$K,AE78,1))</f>
        <v/>
      </c>
      <c r="AO78" s="1" t="str">
        <f>IF(AP78="","",AO76)</f>
        <v/>
      </c>
      <c r="AP78" s="1" t="str">
        <f>IF(AP76&lt;$I$1,AP76+1,"")</f>
        <v/>
      </c>
      <c r="AQ78" s="3" t="str">
        <f>IF(AP78="","",IF(Dati!$F28="",VLOOKUP(AP78+$F$1,AP$9:AY$28,9,FALSE),Dati!$F28))</f>
        <v/>
      </c>
      <c r="AR78" s="1" t="str">
        <f>IF(AP78="","",(AP78-1+$F$1)*Modi!$B$51+2+($F$1-AO78))</f>
        <v/>
      </c>
      <c r="AS78" s="2" t="str">
        <f>IF(AP78="","",INDEX(SPO!$H:$H,AR78,1))</f>
        <v/>
      </c>
      <c r="AT78" s="2" t="str">
        <f>IF(AP78="","",INDEX(SPO!$I:$I,AR78,1))</f>
        <v/>
      </c>
      <c r="AU78" s="2" t="str">
        <f>IF(AP78="","",INDEX(SPO!$J:$J,AR78,1))</f>
        <v/>
      </c>
      <c r="AV78" s="2" t="str">
        <f>IF(AP78="","",INDEX(SPO!$K:$K,AR78,1))</f>
        <v/>
      </c>
      <c r="BB78" s="1" t="str">
        <f>IF(BC78="","",BB76)</f>
        <v/>
      </c>
      <c r="BC78" s="1" t="str">
        <f>IF(BC76&lt;$I$1,BC76+1,"")</f>
        <v/>
      </c>
      <c r="BD78" s="3" t="str">
        <f>IF(BC78="","",IF(Dati!$F28="",VLOOKUP(BC78+$F$1,BC$9:BL$28,9,FALSE),Dati!$F28))</f>
        <v/>
      </c>
      <c r="BE78" s="1" t="str">
        <f>IF(BC78="","",(BC78-1+$F$1)*Modi!$B$51+2+($F$1-BB78))</f>
        <v/>
      </c>
      <c r="BF78" s="2" t="str">
        <f>IF(BC78="","",INDEX(SPO!$H:$H,BE78,1))</f>
        <v/>
      </c>
      <c r="BG78" s="2" t="str">
        <f>IF(BC78="","",INDEX(SPO!$I:$I,BE78,1))</f>
        <v/>
      </c>
      <c r="BH78" s="2" t="str">
        <f>IF(BC78="","",INDEX(SPO!$J:$J,BE78,1))</f>
        <v/>
      </c>
      <c r="BI78" s="2" t="str">
        <f>IF(BC78="","",INDEX(SPO!$K:$K,BE78,1))</f>
        <v/>
      </c>
      <c r="BO78" s="1" t="str">
        <f>IF(BP78="","",BO76)</f>
        <v/>
      </c>
      <c r="BP78" s="1" t="str">
        <f>IF(BP76&lt;$I$1,BP76+1,"")</f>
        <v/>
      </c>
      <c r="BQ78" s="3" t="str">
        <f>IF(BP78="","",IF(Dati!$F28="",VLOOKUP(BP78+$F$1,BP$9:BY$28,9,FALSE),Dati!$F28))</f>
        <v/>
      </c>
      <c r="BR78" s="1" t="str">
        <f>IF(BP78="","",(BP78-1+$F$1)*Modi!$B$51+2+($F$1-BO78))</f>
        <v/>
      </c>
      <c r="BS78" s="2" t="str">
        <f>IF(BP78="","",INDEX(SPO!$H:$H,BR78,1))</f>
        <v/>
      </c>
      <c r="BT78" s="2" t="str">
        <f>IF(BP78="","",INDEX(SPO!$I:$I,BR78,1))</f>
        <v/>
      </c>
      <c r="BU78" s="2" t="str">
        <f>IF(BP78="","",INDEX(SPO!$J:$J,BR78,1))</f>
        <v/>
      </c>
      <c r="BV78" s="2" t="str">
        <f>IF(BP78="","",INDEX(SPO!$K:$K,BR78,1))</f>
        <v/>
      </c>
    </row>
    <row r="79" spans="2:74">
      <c r="C79" s="3"/>
      <c r="D79" s="3" t="str">
        <f>IF(C80="","",VLOOKUP(C78+$F$1,C$9:L$28,10,FALSE))</f>
        <v/>
      </c>
      <c r="F79" s="2" t="str">
        <f>IF(C80="","",F78+(F80-F78)*(D79-D78)/(D80-D78))</f>
        <v/>
      </c>
      <c r="G79" s="2" t="str">
        <f>IF(D80="","",G78+(G80-G78)*(D79-D78)/(D80-D78))</f>
        <v/>
      </c>
      <c r="H79" s="2" t="str">
        <f>IF(E80="","",H78+(H80-H78)*(D79-D78)/(D80-D78))</f>
        <v/>
      </c>
      <c r="I79" s="2" t="str">
        <f>IF(F80="","",I78+(I80-I78)*(D79-D78)/(D80-D78))</f>
        <v/>
      </c>
      <c r="P79" s="3"/>
      <c r="Q79" s="3" t="str">
        <f>IF(P80="","",VLOOKUP(P78+$F$1,P$9:Y$28,10,FALSE))</f>
        <v/>
      </c>
      <c r="S79" s="2" t="str">
        <f>IF(P80="","",S78+(S80-S78)*(Q79-Q78)/(Q80-Q78))</f>
        <v/>
      </c>
      <c r="T79" s="2" t="str">
        <f>IF(Q80="","",T78+(T80-T78)*(Q79-Q78)/(Q80-Q78))</f>
        <v/>
      </c>
      <c r="U79" s="2" t="str">
        <f>IF(R80="","",U78+(U80-U78)*(Q79-Q78)/(Q80-Q78))</f>
        <v/>
      </c>
      <c r="V79" s="2" t="str">
        <f>IF(S80="","",V78+(V80-V78)*(Q79-Q78)/(Q80-Q78))</f>
        <v/>
      </c>
      <c r="AC79" s="3"/>
      <c r="AD79" s="3" t="str">
        <f>IF(AC80="","",VLOOKUP(AC78+$F$1,AC$9:AL$28,10,FALSE))</f>
        <v/>
      </c>
      <c r="AF79" s="2" t="str">
        <f>IF(AC80="","",AF78+(AF80-AF78)*(AD79-AD78)/(AD80-AD78))</f>
        <v/>
      </c>
      <c r="AG79" s="2" t="str">
        <f>IF(AD80="","",AG78+(AG80-AG78)*(AD79-AD78)/(AD80-AD78))</f>
        <v/>
      </c>
      <c r="AH79" s="2" t="str">
        <f>IF(AE80="","",AH78+(AH80-AH78)*(AD79-AD78)/(AD80-AD78))</f>
        <v/>
      </c>
      <c r="AI79" s="2" t="str">
        <f>IF(AF80="","",AI78+(AI80-AI78)*(AD79-AD78)/(AD80-AD78))</f>
        <v/>
      </c>
      <c r="AP79" s="3"/>
      <c r="AQ79" s="3" t="str">
        <f>IF(AP80="","",VLOOKUP(AP78+$F$1,AP$9:AY$28,10,FALSE))</f>
        <v/>
      </c>
      <c r="AS79" s="2" t="str">
        <f>IF(AP80="","",AS78+(AS80-AS78)*(AQ79-AQ78)/(AQ80-AQ78))</f>
        <v/>
      </c>
      <c r="AT79" s="2" t="str">
        <f>IF(AQ80="","",AT78+(AT80-AT78)*(AQ79-AQ78)/(AQ80-AQ78))</f>
        <v/>
      </c>
      <c r="AU79" s="2" t="str">
        <f>IF(AR80="","",AU78+(AU80-AU78)*(AQ79-AQ78)/(AQ80-AQ78))</f>
        <v/>
      </c>
      <c r="AV79" s="2" t="str">
        <f>IF(AS80="","",AV78+(AV80-AV78)*(AQ79-AQ78)/(AQ80-AQ78))</f>
        <v/>
      </c>
      <c r="BC79" s="3"/>
      <c r="BD79" s="3" t="str">
        <f>IF(BC80="","",VLOOKUP(BC78+$F$1,BC$9:BL$28,10,FALSE))</f>
        <v/>
      </c>
      <c r="BF79" s="2" t="str">
        <f>IF(BC80="","",BF78+(BF80-BF78)*(BD79-BD78)/(BD80-BD78))</f>
        <v/>
      </c>
      <c r="BG79" s="2" t="str">
        <f>IF(BD80="","",BG78+(BG80-BG78)*(BD79-BD78)/(BD80-BD78))</f>
        <v/>
      </c>
      <c r="BH79" s="2" t="str">
        <f>IF(BE80="","",BH78+(BH80-BH78)*(BD79-BD78)/(BD80-BD78))</f>
        <v/>
      </c>
      <c r="BI79" s="2" t="str">
        <f>IF(BF80="","",BI78+(BI80-BI78)*(BD79-BD78)/(BD80-BD78))</f>
        <v/>
      </c>
      <c r="BP79" s="3"/>
      <c r="BQ79" s="3" t="str">
        <f>IF(BP80="","",VLOOKUP(BP78+$F$1,BP$9:BY$28,10,FALSE))</f>
        <v/>
      </c>
      <c r="BS79" s="2" t="str">
        <f>IF(BP80="","",BS78+(BS80-BS78)*(BQ79-BQ78)/(BQ80-BQ78))</f>
        <v/>
      </c>
      <c r="BT79" s="2" t="str">
        <f>IF(BQ80="","",BT78+(BT80-BT78)*(BQ79-BQ78)/(BQ80-BQ78))</f>
        <v/>
      </c>
      <c r="BU79" s="2" t="str">
        <f>IF(BR80="","",BU78+(BU80-BU78)*(BQ79-BQ78)/(BQ80-BQ78))</f>
        <v/>
      </c>
      <c r="BV79" s="2" t="str">
        <f>IF(BS80="","",BV78+(BV80-BV78)*(BQ79-BQ78)/(BQ80-BQ78))</f>
        <v/>
      </c>
    </row>
    <row r="80" spans="2:74">
      <c r="B80" s="1" t="str">
        <f>IF(C80="","",B78)</f>
        <v/>
      </c>
      <c r="C80" s="1" t="str">
        <f>IF(C78&lt;$I$1,C78+1,"")</f>
        <v/>
      </c>
      <c r="D80" s="3" t="str">
        <f>IF(C80="","",IF(Dati!$F29="",VLOOKUP(C80+$F$1,C$9:L$28,9,FALSE),Dati!$F29))</f>
        <v/>
      </c>
      <c r="E80" s="1" t="str">
        <f>IF(C80="","",(C80-1+$F$1)*Modi!$B$51+2+($F$1-B80))</f>
        <v/>
      </c>
      <c r="F80" s="2" t="str">
        <f>IF(C80="","",INDEX(SPO!$H:$H,E80,1))</f>
        <v/>
      </c>
      <c r="G80" s="2" t="str">
        <f>IF(C80="","",INDEX(SPO!$I:$I,E80,1))</f>
        <v/>
      </c>
      <c r="H80" s="2" t="str">
        <f>IF(C80="","",INDEX(SPO!$J:$J,E80,1))</f>
        <v/>
      </c>
      <c r="I80" s="2" t="str">
        <f>IF(C80="","",INDEX(SPO!$K:$K,E80,1))</f>
        <v/>
      </c>
      <c r="O80" s="1" t="str">
        <f>IF(P80="","",O78)</f>
        <v/>
      </c>
      <c r="P80" s="1" t="str">
        <f>IF(P78&lt;$I$1,P78+1,"")</f>
        <v/>
      </c>
      <c r="Q80" s="3" t="str">
        <f>IF(P80="","",IF(Dati!$F29="",VLOOKUP(P80+$F$1,P$9:Y$28,9,FALSE),Dati!$F29))</f>
        <v/>
      </c>
      <c r="R80" s="1" t="str">
        <f>IF(P80="","",(P80-1+$F$1)*Modi!$B$51+2+($F$1-O80))</f>
        <v/>
      </c>
      <c r="S80" s="2" t="str">
        <f>IF(P80="","",INDEX(SPO!$H:$H,R80,1))</f>
        <v/>
      </c>
      <c r="T80" s="2" t="str">
        <f>IF(P80="","",INDEX(SPO!$I:$I,R80,1))</f>
        <v/>
      </c>
      <c r="U80" s="2" t="str">
        <f>IF(P80="","",INDEX(SPO!$J:$J,R80,1))</f>
        <v/>
      </c>
      <c r="V80" s="2" t="str">
        <f>IF(P80="","",INDEX(SPO!$K:$K,R80,1))</f>
        <v/>
      </c>
      <c r="AB80" s="1" t="str">
        <f>IF(AC80="","",AB78)</f>
        <v/>
      </c>
      <c r="AC80" s="1" t="str">
        <f>IF(AC78&lt;$I$1,AC78+1,"")</f>
        <v/>
      </c>
      <c r="AD80" s="3" t="str">
        <f>IF(AC80="","",IF(Dati!$F29="",VLOOKUP(AC80+$F$1,AC$9:AL$28,9,FALSE),Dati!$F29))</f>
        <v/>
      </c>
      <c r="AE80" s="1" t="str">
        <f>IF(AC80="","",(AC80-1+$F$1)*Modi!$B$51+2+($F$1-AB80))</f>
        <v/>
      </c>
      <c r="AF80" s="2" t="str">
        <f>IF(AC80="","",INDEX(SPO!$H:$H,AE80,1))</f>
        <v/>
      </c>
      <c r="AG80" s="2" t="str">
        <f>IF(AC80="","",INDEX(SPO!$I:$I,AE80,1))</f>
        <v/>
      </c>
      <c r="AH80" s="2" t="str">
        <f>IF(AC80="","",INDEX(SPO!$J:$J,AE80,1))</f>
        <v/>
      </c>
      <c r="AI80" s="2" t="str">
        <f>IF(AC80="","",INDEX(SPO!$K:$K,AE80,1))</f>
        <v/>
      </c>
      <c r="AO80" s="1" t="str">
        <f>IF(AP80="","",AO78)</f>
        <v/>
      </c>
      <c r="AP80" s="1" t="str">
        <f>IF(AP78&lt;$I$1,AP78+1,"")</f>
        <v/>
      </c>
      <c r="AQ80" s="3" t="str">
        <f>IF(AP80="","",IF(Dati!$F29="",VLOOKUP(AP80+$F$1,AP$9:AY$28,9,FALSE),Dati!$F29))</f>
        <v/>
      </c>
      <c r="AR80" s="1" t="str">
        <f>IF(AP80="","",(AP80-1+$F$1)*Modi!$B$51+2+($F$1-AO80))</f>
        <v/>
      </c>
      <c r="AS80" s="2" t="str">
        <f>IF(AP80="","",INDEX(SPO!$H:$H,AR80,1))</f>
        <v/>
      </c>
      <c r="AT80" s="2" t="str">
        <f>IF(AP80="","",INDEX(SPO!$I:$I,AR80,1))</f>
        <v/>
      </c>
      <c r="AU80" s="2" t="str">
        <f>IF(AP80="","",INDEX(SPO!$J:$J,AR80,1))</f>
        <v/>
      </c>
      <c r="AV80" s="2" t="str">
        <f>IF(AP80="","",INDEX(SPO!$K:$K,AR80,1))</f>
        <v/>
      </c>
      <c r="BB80" s="1" t="str">
        <f>IF(BC80="","",BB78)</f>
        <v/>
      </c>
      <c r="BC80" s="1" t="str">
        <f>IF(BC78&lt;$I$1,BC78+1,"")</f>
        <v/>
      </c>
      <c r="BD80" s="3" t="str">
        <f>IF(BC80="","",IF(Dati!$F29="",VLOOKUP(BC80+$F$1,BC$9:BL$28,9,FALSE),Dati!$F29))</f>
        <v/>
      </c>
      <c r="BE80" s="1" t="str">
        <f>IF(BC80="","",(BC80-1+$F$1)*Modi!$B$51+2+($F$1-BB80))</f>
        <v/>
      </c>
      <c r="BF80" s="2" t="str">
        <f>IF(BC80="","",INDEX(SPO!$H:$H,BE80,1))</f>
        <v/>
      </c>
      <c r="BG80" s="2" t="str">
        <f>IF(BC80="","",INDEX(SPO!$I:$I,BE80,1))</f>
        <v/>
      </c>
      <c r="BH80" s="2" t="str">
        <f>IF(BC80="","",INDEX(SPO!$J:$J,BE80,1))</f>
        <v/>
      </c>
      <c r="BI80" s="2" t="str">
        <f>IF(BC80="","",INDEX(SPO!$K:$K,BE80,1))</f>
        <v/>
      </c>
      <c r="BO80" s="1" t="str">
        <f>IF(BP80="","",BO78)</f>
        <v/>
      </c>
      <c r="BP80" s="1" t="str">
        <f>IF(BP78&lt;$I$1,BP78+1,"")</f>
        <v/>
      </c>
      <c r="BQ80" s="3" t="str">
        <f>IF(BP80="","",IF(Dati!$F29="",VLOOKUP(BP80+$F$1,BP$9:BY$28,9,FALSE),Dati!$F29))</f>
        <v/>
      </c>
      <c r="BR80" s="1" t="str">
        <f>IF(BP80="","",(BP80-1+$F$1)*Modi!$B$51+2+($F$1-BO80))</f>
        <v/>
      </c>
      <c r="BS80" s="2" t="str">
        <f>IF(BP80="","",INDEX(SPO!$H:$H,BR80,1))</f>
        <v/>
      </c>
      <c r="BT80" s="2" t="str">
        <f>IF(BP80="","",INDEX(SPO!$I:$I,BR80,1))</f>
        <v/>
      </c>
      <c r="BU80" s="2" t="str">
        <f>IF(BP80="","",INDEX(SPO!$J:$J,BR80,1))</f>
        <v/>
      </c>
      <c r="BV80" s="2" t="str">
        <f>IF(BP80="","",INDEX(SPO!$K:$K,BR80,1))</f>
        <v/>
      </c>
    </row>
    <row r="81" spans="1:74">
      <c r="A81" s="6" t="s">
        <v>45</v>
      </c>
      <c r="C81" s="3"/>
      <c r="D81" s="3" t="str">
        <f>IF(C82="","",VLOOKUP(C80+$F$1,C$9:L$28,10,FALSE))</f>
        <v/>
      </c>
      <c r="F81" s="2" t="str">
        <f>IF(C82="","",F80+(F82-F80)*(D81-D80)/(D82-D80))</f>
        <v/>
      </c>
      <c r="G81" s="2" t="str">
        <f>IF(D82="","",G80+(G82-G80)*(D81-D80)/(D82-D80))</f>
        <v/>
      </c>
      <c r="H81" s="2" t="str">
        <f>IF(E82="","",H80+(H82-H80)*(D81-D80)/(D82-D80))</f>
        <v/>
      </c>
      <c r="I81" s="2" t="str">
        <f>IF(F82="","",I80+(I82-I80)*(D81-D80)/(D82-D80))</f>
        <v/>
      </c>
      <c r="N81" s="6" t="s">
        <v>45</v>
      </c>
      <c r="P81" s="3"/>
      <c r="Q81" s="3" t="str">
        <f>IF(P82="","",VLOOKUP(P80+$F$1,P$9:Y$28,10,FALSE))</f>
        <v/>
      </c>
      <c r="S81" s="2" t="str">
        <f>IF(P82="","",S80+(S82-S80)*(Q81-Q80)/(Q82-Q80))</f>
        <v/>
      </c>
      <c r="T81" s="2" t="str">
        <f>IF(Q82="","",T80+(T82-T80)*(Q81-Q80)/(Q82-Q80))</f>
        <v/>
      </c>
      <c r="U81" s="2" t="str">
        <f>IF(R82="","",U80+(U82-U80)*(Q81-Q80)/(Q82-Q80))</f>
        <v/>
      </c>
      <c r="V81" s="2" t="str">
        <f>IF(S82="","",V80+(V82-V80)*(Q81-Q80)/(Q82-Q80))</f>
        <v/>
      </c>
      <c r="AA81" s="6" t="s">
        <v>45</v>
      </c>
      <c r="AC81" s="3"/>
      <c r="AD81" s="3" t="str">
        <f>IF(AC82="","",VLOOKUP(AC80+$F$1,AC$9:AL$28,10,FALSE))</f>
        <v/>
      </c>
      <c r="AF81" s="2" t="str">
        <f>IF(AC82="","",AF80+(AF82-AF80)*(AD81-AD80)/(AD82-AD80))</f>
        <v/>
      </c>
      <c r="AG81" s="2" t="str">
        <f>IF(AD82="","",AG80+(AG82-AG80)*(AD81-AD80)/(AD82-AD80))</f>
        <v/>
      </c>
      <c r="AH81" s="2" t="str">
        <f>IF(AE82="","",AH80+(AH82-AH80)*(AD81-AD80)/(AD82-AD80))</f>
        <v/>
      </c>
      <c r="AI81" s="2" t="str">
        <f>IF(AF82="","",AI80+(AI82-AI80)*(AD81-AD80)/(AD82-AD80))</f>
        <v/>
      </c>
      <c r="AN81" s="6" t="s">
        <v>45</v>
      </c>
      <c r="AP81" s="3"/>
      <c r="AQ81" s="3" t="str">
        <f>IF(AP82="","",VLOOKUP(AP80+$F$1,AP$9:AY$28,10,FALSE))</f>
        <v/>
      </c>
      <c r="AS81" s="2" t="str">
        <f>IF(AP82="","",AS80+(AS82-AS80)*(AQ81-AQ80)/(AQ82-AQ80))</f>
        <v/>
      </c>
      <c r="AT81" s="2" t="str">
        <f>IF(AQ82="","",AT80+(AT82-AT80)*(AQ81-AQ80)/(AQ82-AQ80))</f>
        <v/>
      </c>
      <c r="AU81" s="2" t="str">
        <f>IF(AR82="","",AU80+(AU82-AU80)*(AQ81-AQ80)/(AQ82-AQ80))</f>
        <v/>
      </c>
      <c r="AV81" s="2" t="str">
        <f>IF(AS82="","",AV80+(AV82-AV80)*(AQ81-AQ80)/(AQ82-AQ80))</f>
        <v/>
      </c>
      <c r="BA81" s="6" t="s">
        <v>45</v>
      </c>
      <c r="BC81" s="3"/>
      <c r="BD81" s="3" t="str">
        <f>IF(BC82="","",VLOOKUP(BC80+$F$1,BC$9:BL$28,10,FALSE))</f>
        <v/>
      </c>
      <c r="BF81" s="2" t="str">
        <f>IF(BC82="","",BF80+(BF82-BF80)*(BD81-BD80)/(BD82-BD80))</f>
        <v/>
      </c>
      <c r="BG81" s="2" t="str">
        <f>IF(BD82="","",BG80+(BG82-BG80)*(BD81-BD80)/(BD82-BD80))</f>
        <v/>
      </c>
      <c r="BH81" s="2" t="str">
        <f>IF(BE82="","",BH80+(BH82-BH80)*(BD81-BD80)/(BD82-BD80))</f>
        <v/>
      </c>
      <c r="BI81" s="2" t="str">
        <f>IF(BF82="","",BI80+(BI82-BI80)*(BD81-BD80)/(BD82-BD80))</f>
        <v/>
      </c>
      <c r="BN81" s="6" t="s">
        <v>45</v>
      </c>
      <c r="BP81" s="3"/>
      <c r="BQ81" s="3" t="str">
        <f>IF(BP82="","",VLOOKUP(BP80+$F$1,BP$9:BY$28,10,FALSE))</f>
        <v/>
      </c>
      <c r="BS81" s="2" t="str">
        <f>IF(BP82="","",BS80+(BS82-BS80)*(BQ81-BQ80)/(BQ82-BQ80))</f>
        <v/>
      </c>
      <c r="BT81" s="2" t="str">
        <f>IF(BQ82="","",BT80+(BT82-BT80)*(BQ81-BQ80)/(BQ82-BQ80))</f>
        <v/>
      </c>
      <c r="BU81" s="2" t="str">
        <f>IF(BR82="","",BU80+(BU82-BU80)*(BQ81-BQ80)/(BQ82-BQ80))</f>
        <v/>
      </c>
      <c r="BV81" s="2" t="str">
        <f>IF(BS82="","",BV80+(BV82-BV80)*(BQ81-BQ80)/(BQ82-BQ80))</f>
        <v/>
      </c>
    </row>
    <row r="82" spans="1:74">
      <c r="A82" s="6" t="s">
        <v>107</v>
      </c>
      <c r="B82" s="1" t="str">
        <f>IF(C82="","",B80)</f>
        <v/>
      </c>
      <c r="C82" s="13" t="str">
        <f>IF(C80&lt;$I$1,C80+1,"")</f>
        <v/>
      </c>
      <c r="D82" s="42" t="str">
        <f>IF(C82="","",IF(Dati!$F30="",VLOOKUP(C82+$F$1,C$9:L$28,9,FALSE),Dati!$F30))</f>
        <v/>
      </c>
      <c r="E82" s="13" t="str">
        <f>IF(C82="","",(C82-1+$F$1)*Modi!$B$51+2+($F$1-B82))</f>
        <v/>
      </c>
      <c r="F82" s="15" t="str">
        <f>IF(C82="","",INDEX(SPO!$H:$H,E82,1))</f>
        <v/>
      </c>
      <c r="G82" s="15" t="str">
        <f>IF(C82="","",INDEX(SPO!$I:$I,E82,1))</f>
        <v/>
      </c>
      <c r="H82" s="15" t="str">
        <f>IF(C82="","",INDEX(SPO!$J:$J,E82,1))</f>
        <v/>
      </c>
      <c r="I82" s="15" t="str">
        <f>IF(C82="","",INDEX(SPO!$K:$K,E82,1))</f>
        <v/>
      </c>
      <c r="N82" s="6" t="s">
        <v>107</v>
      </c>
      <c r="O82" s="1" t="str">
        <f>IF(P82="","",O80)</f>
        <v/>
      </c>
      <c r="P82" s="13" t="str">
        <f>IF(P80&lt;$I$1,P80+1,"")</f>
        <v/>
      </c>
      <c r="Q82" s="42" t="str">
        <f>IF(P82="","",IF(Dati!$F30="",VLOOKUP(P82+$F$1,P$9:Y$28,9,FALSE),Dati!$F30))</f>
        <v/>
      </c>
      <c r="R82" s="13" t="str">
        <f>IF(P82="","",(P82-1+$F$1)*Modi!$B$51+2+($F$1-O82))</f>
        <v/>
      </c>
      <c r="S82" s="15" t="str">
        <f>IF(P82="","",INDEX(SPO!$H:$H,R82,1))</f>
        <v/>
      </c>
      <c r="T82" s="15" t="str">
        <f>IF(P82="","",INDEX(SPO!$I:$I,R82,1))</f>
        <v/>
      </c>
      <c r="U82" s="15" t="str">
        <f>IF(P82="","",INDEX(SPO!$J:$J,R82,1))</f>
        <v/>
      </c>
      <c r="V82" s="15" t="str">
        <f>IF(P82="","",INDEX(SPO!$K:$K,R82,1))</f>
        <v/>
      </c>
      <c r="AA82" s="6" t="s">
        <v>107</v>
      </c>
      <c r="AB82" s="1" t="str">
        <f>IF(AC82="","",AB80)</f>
        <v/>
      </c>
      <c r="AC82" s="13" t="str">
        <f>IF(AC80&lt;$I$1,AC80+1,"")</f>
        <v/>
      </c>
      <c r="AD82" s="42" t="str">
        <f>IF(AC82="","",IF(Dati!$F30="",VLOOKUP(AC82+$F$1,AC$9:AL$28,9,FALSE),Dati!$F30))</f>
        <v/>
      </c>
      <c r="AE82" s="13" t="str">
        <f>IF(AC82="","",(AC82-1+$F$1)*Modi!$B$51+2+($F$1-AB82))</f>
        <v/>
      </c>
      <c r="AF82" s="15" t="str">
        <f>IF(AC82="","",INDEX(SPO!$H:$H,AE82,1))</f>
        <v/>
      </c>
      <c r="AG82" s="15" t="str">
        <f>IF(AC82="","",INDEX(SPO!$I:$I,AE82,1))</f>
        <v/>
      </c>
      <c r="AH82" s="15" t="str">
        <f>IF(AC82="","",INDEX(SPO!$J:$J,AE82,1))</f>
        <v/>
      </c>
      <c r="AI82" s="15" t="str">
        <f>IF(AC82="","",INDEX(SPO!$K:$K,AE82,1))</f>
        <v/>
      </c>
      <c r="AN82" s="6" t="s">
        <v>107</v>
      </c>
      <c r="AO82" s="1" t="str">
        <f>IF(AP82="","",AO80)</f>
        <v/>
      </c>
      <c r="AP82" s="13" t="str">
        <f>IF(AP80&lt;$I$1,AP80+1,"")</f>
        <v/>
      </c>
      <c r="AQ82" s="42" t="str">
        <f>IF(AP82="","",IF(Dati!$F30="",VLOOKUP(AP82+$F$1,AP$9:AY$28,9,FALSE),Dati!$F30))</f>
        <v/>
      </c>
      <c r="AR82" s="13" t="str">
        <f>IF(AP82="","",(AP82-1+$F$1)*Modi!$B$51+2+($F$1-AO82))</f>
        <v/>
      </c>
      <c r="AS82" s="15" t="str">
        <f>IF(AP82="","",INDEX(SPO!$H:$H,AR82,1))</f>
        <v/>
      </c>
      <c r="AT82" s="15" t="str">
        <f>IF(AP82="","",INDEX(SPO!$I:$I,AR82,1))</f>
        <v/>
      </c>
      <c r="AU82" s="15" t="str">
        <f>IF(AP82="","",INDEX(SPO!$J:$J,AR82,1))</f>
        <v/>
      </c>
      <c r="AV82" s="15" t="str">
        <f>IF(AP82="","",INDEX(SPO!$K:$K,AR82,1))</f>
        <v/>
      </c>
      <c r="BA82" s="6" t="s">
        <v>107</v>
      </c>
      <c r="BB82" s="1" t="str">
        <f>IF(BC82="","",BB80)</f>
        <v/>
      </c>
      <c r="BC82" s="13" t="str">
        <f>IF(BC80&lt;$I$1,BC80+1,"")</f>
        <v/>
      </c>
      <c r="BD82" s="42" t="str">
        <f>IF(BC82="","",IF(Dati!$F30="",VLOOKUP(BC82+$F$1,BC$9:BL$28,9,FALSE),Dati!$F30))</f>
        <v/>
      </c>
      <c r="BE82" s="13" t="str">
        <f>IF(BC82="","",(BC82-1+$F$1)*Modi!$B$51+2+($F$1-BB82))</f>
        <v/>
      </c>
      <c r="BF82" s="15" t="str">
        <f>IF(BC82="","",INDEX(SPO!$H:$H,BE82,1))</f>
        <v/>
      </c>
      <c r="BG82" s="15" t="str">
        <f>IF(BC82="","",INDEX(SPO!$I:$I,BE82,1))</f>
        <v/>
      </c>
      <c r="BH82" s="15" t="str">
        <f>IF(BC82="","",INDEX(SPO!$J:$J,BE82,1))</f>
        <v/>
      </c>
      <c r="BI82" s="15" t="str">
        <f>IF(BC82="","",INDEX(SPO!$K:$K,BE82,1))</f>
        <v/>
      </c>
      <c r="BN82" s="6" t="s">
        <v>107</v>
      </c>
      <c r="BO82" s="1" t="str">
        <f>IF(BP82="","",BO80)</f>
        <v/>
      </c>
      <c r="BP82" s="13" t="str">
        <f>IF(BP80&lt;$I$1,BP80+1,"")</f>
        <v/>
      </c>
      <c r="BQ82" s="42" t="str">
        <f>IF(BP82="","",IF(Dati!$F30="",VLOOKUP(BP82+$F$1,BP$9:BY$28,9,FALSE),Dati!$F30))</f>
        <v/>
      </c>
      <c r="BR82" s="13" t="str">
        <f>IF(BP82="","",(BP82-1+$F$1)*Modi!$B$51+2+($F$1-BO82))</f>
        <v/>
      </c>
      <c r="BS82" s="15" t="str">
        <f>IF(BP82="","",INDEX(SPO!$H:$H,BR82,1))</f>
        <v/>
      </c>
      <c r="BT82" s="15" t="str">
        <f>IF(BP82="","",INDEX(SPO!$I:$I,BR82,1))</f>
        <v/>
      </c>
      <c r="BU82" s="15" t="str">
        <f>IF(BP82="","",INDEX(SPO!$J:$J,BR82,1))</f>
        <v/>
      </c>
      <c r="BV82" s="15" t="str">
        <f>IF(BP82="","",INDEX(SPO!$K:$K,BR82,1))</f>
        <v/>
      </c>
    </row>
  </sheetData>
  <sheetProtection sheet="1" objects="1" scenarios="1" selectLockedCells="1"/>
  <pageMargins left="0.7" right="0.7" top="0.75" bottom="0.75" header="0.3" footer="0.3"/>
  <ignoredErrors>
    <ignoredError sqref="E34 E36 E38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271"/>
  <sheetViews>
    <sheetView workbookViewId="0">
      <selection sqref="A1:XFD1048576"/>
    </sheetView>
  </sheetViews>
  <sheetFormatPr defaultColWidth="9" defaultRowHeight="12.75"/>
  <cols>
    <col min="1" max="5" width="9" style="1"/>
    <col min="6" max="11" width="10.7109375" style="1" customWidth="1"/>
    <col min="12" max="16384" width="9" style="1"/>
  </cols>
  <sheetData>
    <row r="1" spans="1:11">
      <c r="A1" s="1" t="s">
        <v>71</v>
      </c>
      <c r="B1" s="1" t="s">
        <v>3</v>
      </c>
      <c r="C1" s="1" t="s">
        <v>5</v>
      </c>
      <c r="D1" s="1" t="s">
        <v>4</v>
      </c>
      <c r="F1" s="1" t="s">
        <v>72</v>
      </c>
      <c r="G1" s="1" t="s">
        <v>73</v>
      </c>
      <c r="H1" s="1" t="s">
        <v>74</v>
      </c>
      <c r="I1" s="1" t="s">
        <v>75</v>
      </c>
      <c r="J1" s="1" t="s">
        <v>83</v>
      </c>
      <c r="K1" s="1" t="s">
        <v>84</v>
      </c>
    </row>
    <row r="2" spans="1:11">
      <c r="A2" s="1" t="s">
        <v>76</v>
      </c>
      <c r="D2" s="1">
        <v>5</v>
      </c>
      <c r="E2" s="1" t="s">
        <v>0</v>
      </c>
      <c r="F2" s="2">
        <v>0.30099999999999999</v>
      </c>
      <c r="G2" s="2">
        <v>0.185</v>
      </c>
      <c r="H2" s="2"/>
      <c r="I2" s="2"/>
      <c r="J2" s="2">
        <v>0.79200000000000004</v>
      </c>
      <c r="K2" s="2">
        <v>1.165</v>
      </c>
    </row>
    <row r="3" spans="1:11">
      <c r="A3" s="1" t="s">
        <v>76</v>
      </c>
      <c r="D3" s="1">
        <v>5</v>
      </c>
      <c r="E3" s="1" t="s">
        <v>1</v>
      </c>
      <c r="F3" s="2">
        <v>-0.22800000000000001</v>
      </c>
      <c r="G3" s="2">
        <v>-0.14099999999999999</v>
      </c>
      <c r="H3" s="2"/>
      <c r="I3" s="2"/>
      <c r="J3" s="2">
        <v>-1.125</v>
      </c>
      <c r="K3" s="2">
        <v>-1.655</v>
      </c>
    </row>
    <row r="4" spans="1:11">
      <c r="A4" s="1" t="s">
        <v>76</v>
      </c>
      <c r="D4" s="1">
        <v>5</v>
      </c>
      <c r="E4" s="1" t="s">
        <v>2</v>
      </c>
      <c r="F4" s="2">
        <v>0.01</v>
      </c>
      <c r="G4" s="2">
        <v>6.0000000000000001E-3</v>
      </c>
      <c r="H4" s="2"/>
      <c r="I4" s="2"/>
      <c r="J4" s="2">
        <v>0.13500000000000001</v>
      </c>
      <c r="K4" s="2">
        <v>0.19800000000000001</v>
      </c>
    </row>
    <row r="5" spans="1:11">
      <c r="A5" s="1" t="s">
        <v>76</v>
      </c>
      <c r="D5" s="1">
        <v>4</v>
      </c>
      <c r="E5" s="1" t="s">
        <v>0</v>
      </c>
      <c r="F5" s="2">
        <v>0.224</v>
      </c>
      <c r="G5" s="2">
        <v>0.13700000000000001</v>
      </c>
      <c r="H5" s="2"/>
      <c r="I5" s="2"/>
      <c r="J5" s="2">
        <v>0.7</v>
      </c>
      <c r="K5" s="2">
        <v>1.03</v>
      </c>
    </row>
    <row r="6" spans="1:11">
      <c r="A6" s="1" t="s">
        <v>76</v>
      </c>
      <c r="D6" s="1">
        <v>4</v>
      </c>
      <c r="E6" s="1" t="s">
        <v>1</v>
      </c>
      <c r="F6" s="2">
        <v>-0.16400000000000001</v>
      </c>
      <c r="G6" s="2">
        <v>-0.10100000000000001</v>
      </c>
      <c r="H6" s="2"/>
      <c r="I6" s="2"/>
      <c r="J6" s="2">
        <v>-0.995</v>
      </c>
      <c r="K6" s="2">
        <v>-1.464</v>
      </c>
    </row>
    <row r="7" spans="1:11">
      <c r="A7" s="1" t="s">
        <v>76</v>
      </c>
      <c r="D7" s="1">
        <v>4</v>
      </c>
      <c r="E7" s="1" t="s">
        <v>2</v>
      </c>
      <c r="F7" s="2">
        <v>7.0000000000000001E-3</v>
      </c>
      <c r="G7" s="2">
        <v>5.0000000000000001E-3</v>
      </c>
      <c r="H7" s="2"/>
      <c r="I7" s="2"/>
      <c r="J7" s="2">
        <v>0.11799999999999999</v>
      </c>
      <c r="K7" s="2">
        <v>0.17399999999999999</v>
      </c>
    </row>
    <row r="8" spans="1:11">
      <c r="A8" s="1" t="s">
        <v>76</v>
      </c>
      <c r="D8" s="1">
        <v>3</v>
      </c>
      <c r="E8" s="1" t="s">
        <v>0</v>
      </c>
      <c r="F8" s="2">
        <v>0.154</v>
      </c>
      <c r="G8" s="2">
        <v>9.5000000000000001E-2</v>
      </c>
      <c r="H8" s="2"/>
      <c r="I8" s="2"/>
      <c r="J8" s="2">
        <v>0.56100000000000005</v>
      </c>
      <c r="K8" s="2">
        <v>0.82599999999999996</v>
      </c>
    </row>
    <row r="9" spans="1:11">
      <c r="A9" s="1" t="s">
        <v>76</v>
      </c>
      <c r="D9" s="1">
        <v>3</v>
      </c>
      <c r="E9" s="1" t="s">
        <v>1</v>
      </c>
      <c r="F9" s="2">
        <v>-0.10299999999999999</v>
      </c>
      <c r="G9" s="2">
        <v>-6.3E-2</v>
      </c>
      <c r="H9" s="2"/>
      <c r="I9" s="2"/>
      <c r="J9" s="2">
        <v>-0.79900000000000004</v>
      </c>
      <c r="K9" s="2">
        <v>-1.1759999999999999</v>
      </c>
    </row>
    <row r="10" spans="1:11">
      <c r="A10" s="1" t="s">
        <v>76</v>
      </c>
      <c r="D10" s="1">
        <v>3</v>
      </c>
      <c r="E10" s="1" t="s">
        <v>2</v>
      </c>
      <c r="F10" s="2">
        <v>5.0000000000000001E-3</v>
      </c>
      <c r="G10" s="2">
        <v>3.0000000000000001E-3</v>
      </c>
      <c r="H10" s="2"/>
      <c r="I10" s="2"/>
      <c r="J10" s="2">
        <v>9.4E-2</v>
      </c>
      <c r="K10" s="2">
        <v>0.13900000000000001</v>
      </c>
    </row>
    <row r="11" spans="1:11">
      <c r="A11" s="1" t="s">
        <v>76</v>
      </c>
      <c r="D11" s="1">
        <v>2</v>
      </c>
      <c r="E11" s="1" t="s">
        <v>0</v>
      </c>
      <c r="F11" s="2">
        <v>8.5999999999999993E-2</v>
      </c>
      <c r="G11" s="2">
        <v>5.2999999999999999E-2</v>
      </c>
      <c r="H11" s="2"/>
      <c r="I11" s="2"/>
      <c r="J11" s="2">
        <v>0.38100000000000001</v>
      </c>
      <c r="K11" s="2">
        <v>0.56000000000000005</v>
      </c>
    </row>
    <row r="12" spans="1:11">
      <c r="A12" s="1" t="s">
        <v>76</v>
      </c>
      <c r="D12" s="1">
        <v>2</v>
      </c>
      <c r="E12" s="1" t="s">
        <v>1</v>
      </c>
      <c r="F12" s="2">
        <v>-4.9000000000000002E-2</v>
      </c>
      <c r="G12" s="2">
        <v>-3.1E-2</v>
      </c>
      <c r="H12" s="2"/>
      <c r="I12" s="2"/>
      <c r="J12" s="2">
        <v>-0.54400000000000004</v>
      </c>
      <c r="K12" s="2">
        <v>-0.8</v>
      </c>
    </row>
    <row r="13" spans="1:11">
      <c r="A13" s="1" t="s">
        <v>76</v>
      </c>
      <c r="D13" s="1">
        <v>2</v>
      </c>
      <c r="E13" s="1" t="s">
        <v>2</v>
      </c>
      <c r="F13" s="2">
        <v>3.0000000000000001E-3</v>
      </c>
      <c r="G13" s="2">
        <v>2E-3</v>
      </c>
      <c r="H13" s="2"/>
      <c r="I13" s="2"/>
      <c r="J13" s="2">
        <v>6.3E-2</v>
      </c>
      <c r="K13" s="2">
        <v>9.2999999999999999E-2</v>
      </c>
    </row>
    <row r="14" spans="1:11">
      <c r="A14" s="1" t="s">
        <v>76</v>
      </c>
      <c r="D14" s="1">
        <v>1</v>
      </c>
      <c r="E14" s="1" t="s">
        <v>0</v>
      </c>
      <c r="F14" s="2">
        <v>2.8000000000000001E-2</v>
      </c>
      <c r="G14" s="2">
        <v>1.7999999999999999E-2</v>
      </c>
      <c r="H14" s="2"/>
      <c r="I14" s="2"/>
      <c r="J14" s="2">
        <v>0.17699999999999999</v>
      </c>
      <c r="K14" s="2">
        <v>0.26</v>
      </c>
    </row>
    <row r="15" spans="1:11">
      <c r="A15" s="1" t="s">
        <v>76</v>
      </c>
      <c r="D15" s="1">
        <v>1</v>
      </c>
      <c r="E15" s="1" t="s">
        <v>1</v>
      </c>
      <c r="F15" s="2">
        <v>-1.2999999999999999E-2</v>
      </c>
      <c r="G15" s="2">
        <v>-8.0000000000000002E-3</v>
      </c>
      <c r="H15" s="2"/>
      <c r="I15" s="2"/>
      <c r="J15" s="2">
        <v>-0.255</v>
      </c>
      <c r="K15" s="2">
        <v>-0.375</v>
      </c>
    </row>
    <row r="16" spans="1:11">
      <c r="A16" s="1" t="s">
        <v>76</v>
      </c>
      <c r="D16" s="1">
        <v>1</v>
      </c>
      <c r="E16" s="1" t="s">
        <v>2</v>
      </c>
      <c r="F16" s="2">
        <v>1E-3</v>
      </c>
      <c r="G16" s="2">
        <v>0</v>
      </c>
      <c r="H16" s="2"/>
      <c r="I16" s="2"/>
      <c r="J16" s="2">
        <v>2.9000000000000001E-2</v>
      </c>
      <c r="K16" s="2">
        <v>4.2000000000000003E-2</v>
      </c>
    </row>
    <row r="17" spans="1:9">
      <c r="A17" s="1" t="s">
        <v>76</v>
      </c>
      <c r="B17" s="1">
        <v>1</v>
      </c>
      <c r="E17" s="1" t="s">
        <v>79</v>
      </c>
      <c r="H17" s="1">
        <v>0.58209999999999995</v>
      </c>
      <c r="I17" s="1">
        <v>0.58209999999999995</v>
      </c>
    </row>
    <row r="18" spans="1:9">
      <c r="A18" s="1" t="s">
        <v>76</v>
      </c>
      <c r="B18" s="1">
        <v>1</v>
      </c>
      <c r="E18" s="1" t="s">
        <v>80</v>
      </c>
      <c r="H18" s="1">
        <v>1.7529999999999999</v>
      </c>
      <c r="I18" s="1">
        <v>60.883000000000003</v>
      </c>
    </row>
    <row r="19" spans="1:9">
      <c r="A19" s="1" t="s">
        <v>76</v>
      </c>
      <c r="B19" s="1">
        <v>1</v>
      </c>
      <c r="C19" s="1">
        <v>0.58199999999999996</v>
      </c>
      <c r="D19" s="1">
        <v>5</v>
      </c>
      <c r="E19" s="1" t="s">
        <v>0</v>
      </c>
      <c r="H19" s="32">
        <v>0.96726999999999996</v>
      </c>
      <c r="I19" s="32">
        <v>5.7009999999999996</v>
      </c>
    </row>
    <row r="20" spans="1:9">
      <c r="A20" s="1" t="s">
        <v>76</v>
      </c>
      <c r="B20" s="1">
        <v>1</v>
      </c>
      <c r="D20" s="1">
        <v>5</v>
      </c>
      <c r="E20" s="1" t="s">
        <v>1</v>
      </c>
      <c r="H20" s="32">
        <v>0.38601000000000002</v>
      </c>
      <c r="I20" s="32">
        <v>2.2751000000000001</v>
      </c>
    </row>
    <row r="21" spans="1:9">
      <c r="A21" s="1" t="s">
        <v>76</v>
      </c>
      <c r="B21" s="1">
        <v>1</v>
      </c>
      <c r="C21" s="1" t="s">
        <v>77</v>
      </c>
      <c r="D21" s="1">
        <v>5</v>
      </c>
      <c r="E21" s="1" t="s">
        <v>2</v>
      </c>
      <c r="H21" s="32">
        <v>0.12234</v>
      </c>
      <c r="I21" s="32">
        <v>0.72106999999999999</v>
      </c>
    </row>
    <row r="22" spans="1:9">
      <c r="A22" s="1" t="s">
        <v>76</v>
      </c>
      <c r="B22" s="1">
        <v>1</v>
      </c>
      <c r="D22" s="1">
        <v>4</v>
      </c>
      <c r="E22" s="1" t="s">
        <v>0</v>
      </c>
      <c r="H22" s="32">
        <v>0.85857000000000006</v>
      </c>
      <c r="I22" s="32">
        <v>5.0602999999999998</v>
      </c>
    </row>
    <row r="23" spans="1:9">
      <c r="A23" s="1" t="s">
        <v>76</v>
      </c>
      <c r="B23" s="1">
        <v>1</v>
      </c>
      <c r="D23" s="1">
        <v>4</v>
      </c>
      <c r="E23" s="1" t="s">
        <v>1</v>
      </c>
      <c r="H23" s="32">
        <v>0.34883999999999998</v>
      </c>
      <c r="I23" s="32">
        <v>2.056</v>
      </c>
    </row>
    <row r="24" spans="1:9">
      <c r="A24" s="1" t="s">
        <v>76</v>
      </c>
      <c r="B24" s="1">
        <v>1</v>
      </c>
      <c r="D24" s="1">
        <v>4</v>
      </c>
      <c r="E24" s="1" t="s">
        <v>2</v>
      </c>
      <c r="H24" s="32">
        <v>0.10768999999999999</v>
      </c>
      <c r="I24" s="32">
        <v>0.63470000000000004</v>
      </c>
    </row>
    <row r="25" spans="1:9">
      <c r="A25" s="1" t="s">
        <v>76</v>
      </c>
      <c r="B25" s="1">
        <v>1</v>
      </c>
      <c r="D25" s="1">
        <v>3</v>
      </c>
      <c r="E25" s="1" t="s">
        <v>0</v>
      </c>
      <c r="H25" s="32">
        <v>0.69010000000000005</v>
      </c>
      <c r="I25" s="32">
        <v>4.0674000000000001</v>
      </c>
    </row>
    <row r="26" spans="1:9">
      <c r="A26" s="1" t="s">
        <v>76</v>
      </c>
      <c r="B26" s="1">
        <v>1</v>
      </c>
      <c r="D26" s="1">
        <v>3</v>
      </c>
      <c r="E26" s="1" t="s">
        <v>1</v>
      </c>
      <c r="H26" s="32">
        <v>0.28749000000000002</v>
      </c>
      <c r="I26" s="32">
        <v>1.6943999999999999</v>
      </c>
    </row>
    <row r="27" spans="1:9">
      <c r="A27" s="1" t="s">
        <v>76</v>
      </c>
      <c r="B27" s="1">
        <v>1</v>
      </c>
      <c r="D27" s="1">
        <v>3</v>
      </c>
      <c r="E27" s="1" t="s">
        <v>2</v>
      </c>
      <c r="H27" s="32">
        <v>8.5726999999999998E-2</v>
      </c>
      <c r="I27" s="32">
        <v>0.50526000000000004</v>
      </c>
    </row>
    <row r="28" spans="1:9">
      <c r="A28" s="1" t="s">
        <v>76</v>
      </c>
      <c r="B28" s="1">
        <v>1</v>
      </c>
      <c r="D28" s="1">
        <v>2</v>
      </c>
      <c r="E28" s="1" t="s">
        <v>0</v>
      </c>
      <c r="H28" s="32">
        <v>0.46488000000000002</v>
      </c>
      <c r="I28" s="32">
        <v>2.7399</v>
      </c>
    </row>
    <row r="29" spans="1:9">
      <c r="A29" s="1" t="s">
        <v>76</v>
      </c>
      <c r="B29" s="1">
        <v>1</v>
      </c>
      <c r="D29" s="1">
        <v>2</v>
      </c>
      <c r="E29" s="1" t="s">
        <v>1</v>
      </c>
      <c r="H29" s="32">
        <v>0.20374</v>
      </c>
      <c r="I29" s="32">
        <v>1.2008000000000001</v>
      </c>
    </row>
    <row r="30" spans="1:9">
      <c r="A30" s="1" t="s">
        <v>76</v>
      </c>
      <c r="B30" s="1">
        <v>1</v>
      </c>
      <c r="D30" s="1">
        <v>2</v>
      </c>
      <c r="E30" s="1" t="s">
        <v>2</v>
      </c>
      <c r="H30" s="32">
        <v>5.6891999999999998E-2</v>
      </c>
      <c r="I30" s="32">
        <v>0.33532000000000001</v>
      </c>
    </row>
    <row r="31" spans="1:9">
      <c r="A31" s="1" t="s">
        <v>76</v>
      </c>
      <c r="B31" s="1">
        <v>1</v>
      </c>
      <c r="D31" s="1">
        <v>1</v>
      </c>
      <c r="E31" s="1" t="s">
        <v>0</v>
      </c>
      <c r="H31" s="32">
        <v>0.21021000000000001</v>
      </c>
      <c r="I31" s="32">
        <v>1.2388999999999999</v>
      </c>
    </row>
    <row r="32" spans="1:9">
      <c r="A32" s="1" t="s">
        <v>76</v>
      </c>
      <c r="B32" s="1">
        <v>1</v>
      </c>
      <c r="D32" s="1">
        <v>1</v>
      </c>
      <c r="E32" s="1" t="s">
        <v>1</v>
      </c>
      <c r="H32" s="32">
        <v>0.10342999999999999</v>
      </c>
      <c r="I32" s="32">
        <v>0.60960999999999999</v>
      </c>
    </row>
    <row r="33" spans="1:9">
      <c r="A33" s="1" t="s">
        <v>76</v>
      </c>
      <c r="B33" s="1">
        <v>1</v>
      </c>
      <c r="D33" s="1">
        <v>1</v>
      </c>
      <c r="E33" s="1" t="s">
        <v>2</v>
      </c>
      <c r="H33" s="32">
        <v>2.4958999999999999E-2</v>
      </c>
      <c r="I33" s="32">
        <v>0.14710999999999999</v>
      </c>
    </row>
    <row r="34" spans="1:9">
      <c r="A34" s="1" t="s">
        <v>76</v>
      </c>
      <c r="B34" s="1">
        <v>2</v>
      </c>
      <c r="E34" s="1" t="s">
        <v>79</v>
      </c>
      <c r="H34" s="1">
        <v>0.55300000000000005</v>
      </c>
      <c r="I34" s="1">
        <v>0.55300000000000005</v>
      </c>
    </row>
    <row r="35" spans="1:9">
      <c r="A35" s="1" t="s">
        <v>76</v>
      </c>
      <c r="B35" s="1">
        <v>2</v>
      </c>
      <c r="E35" s="1" t="s">
        <v>80</v>
      </c>
      <c r="H35" s="1">
        <v>84.001999999999995</v>
      </c>
      <c r="I35" s="1">
        <v>1.96</v>
      </c>
    </row>
    <row r="36" spans="1:9">
      <c r="A36" s="1" t="s">
        <v>76</v>
      </c>
      <c r="B36" s="1">
        <v>2</v>
      </c>
      <c r="C36" s="1">
        <v>0.55300000000000005</v>
      </c>
      <c r="D36" s="1">
        <v>5</v>
      </c>
      <c r="E36" s="1" t="s">
        <v>0</v>
      </c>
      <c r="H36" s="32">
        <v>12.236000000000001</v>
      </c>
      <c r="I36" s="32">
        <v>-1.869</v>
      </c>
    </row>
    <row r="37" spans="1:9">
      <c r="A37" s="1" t="s">
        <v>76</v>
      </c>
      <c r="B37" s="1">
        <v>2</v>
      </c>
      <c r="C37" s="1" t="s">
        <v>78</v>
      </c>
      <c r="D37" s="1">
        <v>5</v>
      </c>
      <c r="E37" s="1" t="s">
        <v>1</v>
      </c>
      <c r="H37" s="32">
        <v>-1.4470000000000001</v>
      </c>
      <c r="I37" s="32">
        <v>0.22106999999999999</v>
      </c>
    </row>
    <row r="38" spans="1:9">
      <c r="A38" s="1" t="s">
        <v>76</v>
      </c>
      <c r="B38" s="1">
        <v>2</v>
      </c>
      <c r="D38" s="1">
        <v>5</v>
      </c>
      <c r="E38" s="1" t="s">
        <v>2</v>
      </c>
      <c r="H38" s="32">
        <v>-4.8090000000000001E-2</v>
      </c>
      <c r="I38" s="32">
        <v>7.3460000000000001E-3</v>
      </c>
    </row>
    <row r="39" spans="1:9">
      <c r="A39" s="1" t="s">
        <v>76</v>
      </c>
      <c r="B39" s="1">
        <v>2</v>
      </c>
      <c r="D39" s="1">
        <v>4</v>
      </c>
      <c r="E39" s="1" t="s">
        <v>0</v>
      </c>
      <c r="H39" s="32">
        <v>10.951000000000001</v>
      </c>
      <c r="I39" s="32">
        <v>-1.673</v>
      </c>
    </row>
    <row r="40" spans="1:9">
      <c r="A40" s="1" t="s">
        <v>76</v>
      </c>
      <c r="B40" s="1">
        <v>2</v>
      </c>
      <c r="D40" s="1">
        <v>4</v>
      </c>
      <c r="E40" s="1" t="s">
        <v>1</v>
      </c>
      <c r="H40" s="32">
        <v>-1.3440000000000001</v>
      </c>
      <c r="I40" s="32">
        <v>0.20522000000000001</v>
      </c>
    </row>
    <row r="41" spans="1:9">
      <c r="A41" s="1" t="s">
        <v>76</v>
      </c>
      <c r="B41" s="1">
        <v>2</v>
      </c>
      <c r="D41" s="1">
        <v>4</v>
      </c>
      <c r="E41" s="1" t="s">
        <v>2</v>
      </c>
      <c r="H41" s="32">
        <v>-3.6110000000000003E-2</v>
      </c>
      <c r="I41" s="32">
        <v>5.5164999999999997E-3</v>
      </c>
    </row>
    <row r="42" spans="1:9">
      <c r="A42" s="1" t="s">
        <v>76</v>
      </c>
      <c r="B42" s="1">
        <v>2</v>
      </c>
      <c r="D42" s="1">
        <v>3</v>
      </c>
      <c r="E42" s="1" t="s">
        <v>0</v>
      </c>
      <c r="H42" s="32">
        <v>8.8989999999999991</v>
      </c>
      <c r="I42" s="32">
        <v>-1.359</v>
      </c>
    </row>
    <row r="43" spans="1:9">
      <c r="A43" s="1" t="s">
        <v>76</v>
      </c>
      <c r="B43" s="1">
        <v>2</v>
      </c>
      <c r="D43" s="1">
        <v>3</v>
      </c>
      <c r="E43" s="1" t="s">
        <v>1</v>
      </c>
      <c r="H43" s="32">
        <v>-1.1339999999999999</v>
      </c>
      <c r="I43" s="32">
        <v>0.17319000000000001</v>
      </c>
    </row>
    <row r="44" spans="1:9">
      <c r="A44" s="1" t="s">
        <v>76</v>
      </c>
      <c r="B44" s="1">
        <v>2</v>
      </c>
      <c r="D44" s="1">
        <v>3</v>
      </c>
      <c r="E44" s="1" t="s">
        <v>2</v>
      </c>
      <c r="H44" s="32">
        <v>-2.3279999999999999E-2</v>
      </c>
      <c r="I44" s="32">
        <v>3.5558999999999999E-3</v>
      </c>
    </row>
    <row r="45" spans="1:9">
      <c r="A45" s="1" t="s">
        <v>76</v>
      </c>
      <c r="B45" s="1">
        <v>2</v>
      </c>
      <c r="D45" s="1">
        <v>2</v>
      </c>
      <c r="E45" s="1" t="s">
        <v>0</v>
      </c>
      <c r="H45" s="32">
        <v>6.1212999999999997</v>
      </c>
      <c r="I45" s="32">
        <v>-0.93500000000000005</v>
      </c>
    </row>
    <row r="46" spans="1:9">
      <c r="A46" s="1" t="s">
        <v>76</v>
      </c>
      <c r="B46" s="1">
        <v>2</v>
      </c>
      <c r="D46" s="1">
        <v>2</v>
      </c>
      <c r="E46" s="1" t="s">
        <v>1</v>
      </c>
      <c r="H46" s="32">
        <v>-0.82150000000000001</v>
      </c>
      <c r="I46" s="32">
        <v>0.12548000000000001</v>
      </c>
    </row>
    <row r="47" spans="1:9">
      <c r="A47" s="1" t="s">
        <v>76</v>
      </c>
      <c r="B47" s="1">
        <v>2</v>
      </c>
      <c r="D47" s="1">
        <v>2</v>
      </c>
      <c r="E47" s="1" t="s">
        <v>2</v>
      </c>
      <c r="H47" s="32">
        <v>-1.0200000000000001E-2</v>
      </c>
      <c r="I47" s="32">
        <v>1.5579000000000001E-3</v>
      </c>
    </row>
    <row r="48" spans="1:9">
      <c r="A48" s="1" t="s">
        <v>76</v>
      </c>
      <c r="B48" s="1">
        <v>2</v>
      </c>
      <c r="D48" s="1">
        <v>1</v>
      </c>
      <c r="E48" s="1" t="s">
        <v>0</v>
      </c>
      <c r="H48" s="32">
        <v>2.9020999999999999</v>
      </c>
      <c r="I48" s="32">
        <v>-0.44330000000000003</v>
      </c>
    </row>
    <row r="49" spans="1:9">
      <c r="A49" s="1" t="s">
        <v>76</v>
      </c>
      <c r="B49" s="1">
        <v>2</v>
      </c>
      <c r="D49" s="1">
        <v>1</v>
      </c>
      <c r="E49" s="1" t="s">
        <v>1</v>
      </c>
      <c r="H49" s="32">
        <v>-0.42899999999999999</v>
      </c>
      <c r="I49" s="32">
        <v>6.5532999999999994E-2</v>
      </c>
    </row>
    <row r="50" spans="1:9">
      <c r="A50" s="1" t="s">
        <v>76</v>
      </c>
      <c r="B50" s="1">
        <v>2</v>
      </c>
      <c r="D50" s="1">
        <v>1</v>
      </c>
      <c r="E50" s="1" t="s">
        <v>2</v>
      </c>
      <c r="H50" s="32">
        <v>2.4114000000000001E-4</v>
      </c>
      <c r="I50" s="32">
        <v>-3.6829999999999998E-5</v>
      </c>
    </row>
    <row r="51" spans="1:9">
      <c r="A51" s="1" t="s">
        <v>76</v>
      </c>
      <c r="B51" s="1">
        <v>3</v>
      </c>
      <c r="E51" s="1" t="s">
        <v>79</v>
      </c>
      <c r="H51" s="1">
        <v>0.46260000000000001</v>
      </c>
      <c r="I51" s="1">
        <v>0.46260000000000001</v>
      </c>
    </row>
    <row r="52" spans="1:9">
      <c r="A52" s="1" t="s">
        <v>76</v>
      </c>
      <c r="B52" s="1">
        <v>3</v>
      </c>
      <c r="E52" s="1" t="s">
        <v>80</v>
      </c>
      <c r="H52" s="1">
        <v>0.27600000000000002</v>
      </c>
      <c r="I52" s="1">
        <v>23.027999999999999</v>
      </c>
    </row>
    <row r="53" spans="1:9">
      <c r="A53" s="1" t="s">
        <v>76</v>
      </c>
      <c r="B53" s="1">
        <v>3</v>
      </c>
      <c r="C53" s="1">
        <v>0.46300000000000002</v>
      </c>
      <c r="D53" s="1">
        <v>5</v>
      </c>
      <c r="E53" s="1" t="s">
        <v>0</v>
      </c>
      <c r="H53" s="32">
        <v>-0.28170000000000001</v>
      </c>
      <c r="I53" s="32">
        <v>-2.5720000000000001</v>
      </c>
    </row>
    <row r="54" spans="1:9">
      <c r="A54" s="1" t="s">
        <v>76</v>
      </c>
      <c r="B54" s="1">
        <v>3</v>
      </c>
      <c r="D54" s="1">
        <v>5</v>
      </c>
      <c r="E54" s="1" t="s">
        <v>1</v>
      </c>
      <c r="H54" s="32">
        <v>0.83440999999999999</v>
      </c>
      <c r="I54" s="32">
        <v>7.6196999999999999</v>
      </c>
    </row>
    <row r="55" spans="1:9">
      <c r="A55" s="1" t="s">
        <v>76</v>
      </c>
      <c r="B55" s="1">
        <v>3</v>
      </c>
      <c r="D55" s="1">
        <v>5</v>
      </c>
      <c r="E55" s="1" t="s">
        <v>2</v>
      </c>
      <c r="H55" s="32">
        <v>-5.5199999999999999E-2</v>
      </c>
      <c r="I55" s="32">
        <v>-0.504</v>
      </c>
    </row>
    <row r="56" spans="1:9">
      <c r="A56" s="1" t="s">
        <v>76</v>
      </c>
      <c r="B56" s="1">
        <v>3</v>
      </c>
      <c r="D56" s="1">
        <v>4</v>
      </c>
      <c r="E56" s="1" t="s">
        <v>0</v>
      </c>
      <c r="H56" s="32">
        <v>-0.25309999999999999</v>
      </c>
      <c r="I56" s="32">
        <v>-2.3109999999999999</v>
      </c>
    </row>
    <row r="57" spans="1:9">
      <c r="A57" s="1" t="s">
        <v>76</v>
      </c>
      <c r="B57" s="1">
        <v>3</v>
      </c>
      <c r="D57" s="1">
        <v>4</v>
      </c>
      <c r="E57" s="1" t="s">
        <v>1</v>
      </c>
      <c r="H57" s="32">
        <v>0.74589000000000005</v>
      </c>
      <c r="I57" s="32">
        <v>6.8113000000000001</v>
      </c>
    </row>
    <row r="58" spans="1:9">
      <c r="A58" s="1" t="s">
        <v>76</v>
      </c>
      <c r="B58" s="1">
        <v>3</v>
      </c>
      <c r="D58" s="1">
        <v>4</v>
      </c>
      <c r="E58" s="1" t="s">
        <v>2</v>
      </c>
      <c r="H58" s="32">
        <v>-4.9160000000000002E-2</v>
      </c>
      <c r="I58" s="32">
        <v>-0.44900000000000001</v>
      </c>
    </row>
    <row r="59" spans="1:9">
      <c r="A59" s="1" t="s">
        <v>76</v>
      </c>
      <c r="B59" s="1">
        <v>3</v>
      </c>
      <c r="D59" s="1">
        <v>3</v>
      </c>
      <c r="E59" s="1" t="s">
        <v>0</v>
      </c>
      <c r="H59" s="32">
        <v>-0.20630000000000001</v>
      </c>
      <c r="I59" s="32">
        <v>-1.8839999999999999</v>
      </c>
    </row>
    <row r="60" spans="1:9">
      <c r="A60" s="1" t="s">
        <v>76</v>
      </c>
      <c r="B60" s="1">
        <v>3</v>
      </c>
      <c r="D60" s="1">
        <v>3</v>
      </c>
      <c r="E60" s="1" t="s">
        <v>1</v>
      </c>
      <c r="H60" s="32">
        <v>0.60567000000000004</v>
      </c>
      <c r="I60" s="32">
        <v>5.5308000000000002</v>
      </c>
    </row>
    <row r="61" spans="1:9">
      <c r="A61" s="1" t="s">
        <v>76</v>
      </c>
      <c r="B61" s="1">
        <v>3</v>
      </c>
      <c r="D61" s="1">
        <v>3</v>
      </c>
      <c r="E61" s="1" t="s">
        <v>2</v>
      </c>
      <c r="H61" s="32">
        <v>-3.9710000000000002E-2</v>
      </c>
      <c r="I61" s="32">
        <v>-0.36270000000000002</v>
      </c>
    </row>
    <row r="62" spans="1:9">
      <c r="A62" s="1" t="s">
        <v>76</v>
      </c>
      <c r="B62" s="1">
        <v>3</v>
      </c>
      <c r="D62" s="1">
        <v>2</v>
      </c>
      <c r="E62" s="1" t="s">
        <v>0</v>
      </c>
      <c r="H62" s="32">
        <v>-0.1419</v>
      </c>
      <c r="I62" s="32">
        <v>-1.296</v>
      </c>
    </row>
    <row r="63" spans="1:9">
      <c r="A63" s="1" t="s">
        <v>76</v>
      </c>
      <c r="B63" s="1">
        <v>3</v>
      </c>
      <c r="D63" s="1">
        <v>2</v>
      </c>
      <c r="E63" s="1" t="s">
        <v>1</v>
      </c>
      <c r="H63" s="32">
        <v>0.41625000000000001</v>
      </c>
      <c r="I63" s="32">
        <v>3.8010999999999999</v>
      </c>
    </row>
    <row r="64" spans="1:9">
      <c r="A64" s="1" t="s">
        <v>76</v>
      </c>
      <c r="B64" s="1">
        <v>3</v>
      </c>
      <c r="D64" s="1">
        <v>2</v>
      </c>
      <c r="E64" s="1" t="s">
        <v>2</v>
      </c>
      <c r="H64" s="32">
        <v>-2.7019999999999999E-2</v>
      </c>
      <c r="I64" s="32">
        <v>-0.24679999999999999</v>
      </c>
    </row>
    <row r="65" spans="1:9">
      <c r="A65" s="1" t="s">
        <v>76</v>
      </c>
      <c r="B65" s="1">
        <v>3</v>
      </c>
      <c r="D65" s="1">
        <v>1</v>
      </c>
      <c r="E65" s="1" t="s">
        <v>0</v>
      </c>
      <c r="H65" s="32">
        <v>-6.7180000000000004E-2</v>
      </c>
      <c r="I65" s="32">
        <v>-0.61350000000000005</v>
      </c>
    </row>
    <row r="66" spans="1:9">
      <c r="A66" s="1" t="s">
        <v>76</v>
      </c>
      <c r="B66" s="1">
        <v>3</v>
      </c>
      <c r="D66" s="1">
        <v>1</v>
      </c>
      <c r="E66" s="1" t="s">
        <v>1</v>
      </c>
      <c r="H66" s="32">
        <v>0.19750000000000001</v>
      </c>
      <c r="I66" s="32">
        <v>1.8035000000000001</v>
      </c>
    </row>
    <row r="67" spans="1:9">
      <c r="A67" s="1" t="s">
        <v>76</v>
      </c>
      <c r="B67" s="1">
        <v>3</v>
      </c>
      <c r="D67" s="1">
        <v>1</v>
      </c>
      <c r="E67" s="1" t="s">
        <v>2</v>
      </c>
      <c r="H67" s="32">
        <v>-1.255E-2</v>
      </c>
      <c r="I67" s="32">
        <v>-0.11459999999999999</v>
      </c>
    </row>
    <row r="68" spans="1:9">
      <c r="A68" s="1" t="s">
        <v>76</v>
      </c>
      <c r="B68" s="1">
        <v>4</v>
      </c>
      <c r="E68" s="1" t="s">
        <v>79</v>
      </c>
      <c r="H68" s="1">
        <v>0.18329999999999999</v>
      </c>
      <c r="I68" s="1">
        <v>0.18329999999999999</v>
      </c>
    </row>
    <row r="69" spans="1:9">
      <c r="A69" s="1" t="s">
        <v>76</v>
      </c>
      <c r="B69" s="1">
        <v>4</v>
      </c>
      <c r="E69" s="1" t="s">
        <v>80</v>
      </c>
      <c r="H69" s="1">
        <v>0.32200000000000001</v>
      </c>
      <c r="I69" s="1">
        <v>6.9279999999999999</v>
      </c>
    </row>
    <row r="70" spans="1:9">
      <c r="A70" s="1" t="s">
        <v>76</v>
      </c>
      <c r="B70" s="1">
        <v>4</v>
      </c>
      <c r="C70" s="1">
        <v>0.183</v>
      </c>
      <c r="D70" s="1">
        <v>5</v>
      </c>
      <c r="E70" s="1" t="s">
        <v>0</v>
      </c>
      <c r="H70" s="32">
        <v>-4.7239999999999997E-2</v>
      </c>
      <c r="I70" s="32">
        <v>-0.21909999999999999</v>
      </c>
    </row>
    <row r="71" spans="1:9">
      <c r="A71" s="1" t="s">
        <v>76</v>
      </c>
      <c r="B71" s="1">
        <v>4</v>
      </c>
      <c r="D71" s="1">
        <v>5</v>
      </c>
      <c r="E71" s="1" t="s">
        <v>1</v>
      </c>
      <c r="H71" s="32">
        <v>-2.2419999999999999E-2</v>
      </c>
      <c r="I71" s="32">
        <v>-0.104</v>
      </c>
    </row>
    <row r="72" spans="1:9">
      <c r="A72" s="1" t="s">
        <v>76</v>
      </c>
      <c r="B72" s="1">
        <v>4</v>
      </c>
      <c r="D72" s="1">
        <v>5</v>
      </c>
      <c r="E72" s="1" t="s">
        <v>2</v>
      </c>
      <c r="H72" s="32">
        <v>-5.1089999999999998E-3</v>
      </c>
      <c r="I72" s="32">
        <v>-2.3699999999999999E-2</v>
      </c>
    </row>
    <row r="73" spans="1:9">
      <c r="A73" s="1" t="s">
        <v>76</v>
      </c>
      <c r="B73" s="1">
        <v>4</v>
      </c>
      <c r="D73" s="1">
        <v>4</v>
      </c>
      <c r="E73" s="1" t="s">
        <v>0</v>
      </c>
      <c r="H73" s="32">
        <v>-8.2550000000000002E-3</v>
      </c>
      <c r="I73" s="32">
        <v>-3.8280000000000002E-2</v>
      </c>
    </row>
    <row r="74" spans="1:9">
      <c r="A74" s="1" t="s">
        <v>76</v>
      </c>
      <c r="B74" s="1">
        <v>4</v>
      </c>
      <c r="D74" s="1">
        <v>4</v>
      </c>
      <c r="E74" s="1" t="s">
        <v>1</v>
      </c>
      <c r="H74" s="32">
        <v>-4.1780000000000003E-3</v>
      </c>
      <c r="I74" s="32">
        <v>-1.9380000000000001E-2</v>
      </c>
    </row>
    <row r="75" spans="1:9">
      <c r="A75" s="1" t="s">
        <v>76</v>
      </c>
      <c r="B75" s="1">
        <v>4</v>
      </c>
      <c r="D75" s="1">
        <v>4</v>
      </c>
      <c r="E75" s="1" t="s">
        <v>2</v>
      </c>
      <c r="H75" s="32">
        <v>-7.9310000000000003E-4</v>
      </c>
      <c r="I75" s="32">
        <v>-3.6779999999999998E-3</v>
      </c>
    </row>
    <row r="76" spans="1:9">
      <c r="A76" s="1" t="s">
        <v>76</v>
      </c>
      <c r="B76" s="1">
        <v>4</v>
      </c>
      <c r="D76" s="1">
        <v>3</v>
      </c>
      <c r="E76" s="1" t="s">
        <v>0</v>
      </c>
      <c r="H76" s="32">
        <v>3.0359000000000001E-2</v>
      </c>
      <c r="I76" s="32">
        <v>0.14079</v>
      </c>
    </row>
    <row r="77" spans="1:9">
      <c r="A77" s="1" t="s">
        <v>76</v>
      </c>
      <c r="B77" s="1">
        <v>4</v>
      </c>
      <c r="D77" s="1">
        <v>3</v>
      </c>
      <c r="E77" s="1" t="s">
        <v>1</v>
      </c>
      <c r="H77" s="32">
        <v>1.5029000000000001E-2</v>
      </c>
      <c r="I77" s="32">
        <v>6.9697999999999996E-2</v>
      </c>
    </row>
    <row r="78" spans="1:9">
      <c r="A78" s="1" t="s">
        <v>76</v>
      </c>
      <c r="B78" s="1">
        <v>4</v>
      </c>
      <c r="D78" s="1">
        <v>3</v>
      </c>
      <c r="E78" s="1" t="s">
        <v>2</v>
      </c>
      <c r="H78" s="32">
        <v>3.3417E-3</v>
      </c>
      <c r="I78" s="32">
        <v>1.5498E-2</v>
      </c>
    </row>
    <row r="79" spans="1:9">
      <c r="A79" s="1" t="s">
        <v>76</v>
      </c>
      <c r="B79" s="1">
        <v>4</v>
      </c>
      <c r="D79" s="1">
        <v>2</v>
      </c>
      <c r="E79" s="1" t="s">
        <v>0</v>
      </c>
      <c r="H79" s="32">
        <v>4.5531000000000002E-2</v>
      </c>
      <c r="I79" s="32">
        <v>0.21115999999999999</v>
      </c>
    </row>
    <row r="80" spans="1:9">
      <c r="A80" s="1" t="s">
        <v>76</v>
      </c>
      <c r="B80" s="1">
        <v>4</v>
      </c>
      <c r="D80" s="1">
        <v>2</v>
      </c>
      <c r="E80" s="1" t="s">
        <v>1</v>
      </c>
      <c r="H80" s="32">
        <v>2.4177000000000001E-2</v>
      </c>
      <c r="I80" s="32">
        <v>0.11212999999999999</v>
      </c>
    </row>
    <row r="81" spans="1:9">
      <c r="A81" s="1" t="s">
        <v>76</v>
      </c>
      <c r="B81" s="1">
        <v>4</v>
      </c>
      <c r="D81" s="1">
        <v>2</v>
      </c>
      <c r="E81" s="1" t="s">
        <v>2</v>
      </c>
      <c r="H81" s="32">
        <v>4.8631999999999998E-3</v>
      </c>
      <c r="I81" s="32">
        <v>2.2554000000000001E-2</v>
      </c>
    </row>
    <row r="82" spans="1:9">
      <c r="A82" s="1" t="s">
        <v>76</v>
      </c>
      <c r="B82" s="1">
        <v>4</v>
      </c>
      <c r="D82" s="1">
        <v>1</v>
      </c>
      <c r="E82" s="1" t="s">
        <v>0</v>
      </c>
      <c r="H82" s="32">
        <v>2.8188999999999999E-2</v>
      </c>
      <c r="I82" s="32">
        <v>0.13073000000000001</v>
      </c>
    </row>
    <row r="83" spans="1:9">
      <c r="A83" s="1" t="s">
        <v>76</v>
      </c>
      <c r="B83" s="1">
        <v>4</v>
      </c>
      <c r="D83" s="1">
        <v>1</v>
      </c>
      <c r="E83" s="1" t="s">
        <v>1</v>
      </c>
      <c r="H83" s="32">
        <v>1.7356E-2</v>
      </c>
      <c r="I83" s="32">
        <v>8.0490000000000006E-2</v>
      </c>
    </row>
    <row r="84" spans="1:9">
      <c r="A84" s="1" t="s">
        <v>76</v>
      </c>
      <c r="B84" s="1">
        <v>4</v>
      </c>
      <c r="D84" s="1">
        <v>1</v>
      </c>
      <c r="E84" s="1" t="s">
        <v>2</v>
      </c>
      <c r="H84" s="32">
        <v>2.9139999999999999E-3</v>
      </c>
      <c r="I84" s="32">
        <v>1.3514E-2</v>
      </c>
    </row>
    <row r="85" spans="1:9">
      <c r="A85" s="1" t="s">
        <v>76</v>
      </c>
      <c r="B85" s="1">
        <v>5</v>
      </c>
      <c r="E85" s="1" t="s">
        <v>79</v>
      </c>
      <c r="H85" s="1">
        <v>0.1769</v>
      </c>
      <c r="I85" s="1">
        <v>0.1769</v>
      </c>
    </row>
    <row r="86" spans="1:9">
      <c r="A86" s="1" t="s">
        <v>76</v>
      </c>
      <c r="B86" s="1">
        <v>5</v>
      </c>
      <c r="E86" s="1" t="s">
        <v>80</v>
      </c>
      <c r="H86" s="1">
        <v>8.9450000000000003</v>
      </c>
      <c r="I86" s="1">
        <v>0.39700000000000002</v>
      </c>
    </row>
    <row r="87" spans="1:9">
      <c r="A87" s="1" t="s">
        <v>76</v>
      </c>
      <c r="B87" s="1">
        <v>5</v>
      </c>
      <c r="C87" s="1">
        <v>0.17699999999999999</v>
      </c>
      <c r="D87" s="1">
        <v>5</v>
      </c>
      <c r="E87" s="1" t="s">
        <v>0</v>
      </c>
      <c r="H87" s="32">
        <v>-0.4002</v>
      </c>
      <c r="I87" s="32">
        <v>8.4302000000000002E-2</v>
      </c>
    </row>
    <row r="88" spans="1:9">
      <c r="A88" s="1" t="s">
        <v>76</v>
      </c>
      <c r="B88" s="1">
        <v>5</v>
      </c>
      <c r="D88" s="1">
        <v>5</v>
      </c>
      <c r="E88" s="1" t="s">
        <v>1</v>
      </c>
      <c r="H88" s="32">
        <v>6.7053000000000001E-2</v>
      </c>
      <c r="I88" s="32">
        <v>-1.413E-2</v>
      </c>
    </row>
    <row r="89" spans="1:9">
      <c r="A89" s="1" t="s">
        <v>76</v>
      </c>
      <c r="B89" s="1">
        <v>5</v>
      </c>
      <c r="D89" s="1">
        <v>5</v>
      </c>
      <c r="E89" s="1" t="s">
        <v>2</v>
      </c>
      <c r="H89" s="32">
        <v>2.1050999999999999E-3</v>
      </c>
      <c r="I89" s="32">
        <v>-4.4349999999999999E-4</v>
      </c>
    </row>
    <row r="90" spans="1:9">
      <c r="A90" s="1" t="s">
        <v>76</v>
      </c>
      <c r="B90" s="1">
        <v>5</v>
      </c>
      <c r="D90" s="1">
        <v>4</v>
      </c>
      <c r="E90" s="1" t="s">
        <v>0</v>
      </c>
      <c r="H90" s="32">
        <v>-7.7369999999999994E-2</v>
      </c>
      <c r="I90" s="32">
        <v>1.6301E-2</v>
      </c>
    </row>
    <row r="91" spans="1:9">
      <c r="A91" s="1" t="s">
        <v>76</v>
      </c>
      <c r="B91" s="1">
        <v>5</v>
      </c>
      <c r="D91" s="1">
        <v>4</v>
      </c>
      <c r="E91" s="1" t="s">
        <v>1</v>
      </c>
      <c r="H91" s="32">
        <v>1.8145999999999999E-2</v>
      </c>
      <c r="I91" s="32">
        <v>-3.823E-3</v>
      </c>
    </row>
    <row r="92" spans="1:9">
      <c r="A92" s="1" t="s">
        <v>76</v>
      </c>
      <c r="B92" s="1">
        <v>5</v>
      </c>
      <c r="D92" s="1">
        <v>4</v>
      </c>
      <c r="E92" s="1" t="s">
        <v>2</v>
      </c>
      <c r="H92" s="32">
        <v>-3.122E-4</v>
      </c>
      <c r="I92" s="32">
        <v>6.5761999999999998E-5</v>
      </c>
    </row>
    <row r="93" spans="1:9">
      <c r="A93" s="1" t="s">
        <v>76</v>
      </c>
      <c r="B93" s="1">
        <v>5</v>
      </c>
      <c r="D93" s="1">
        <v>3</v>
      </c>
      <c r="E93" s="1" t="s">
        <v>0</v>
      </c>
      <c r="H93" s="32">
        <v>0.25557999999999997</v>
      </c>
      <c r="I93" s="32">
        <v>-5.3839999999999999E-2</v>
      </c>
    </row>
    <row r="94" spans="1:9">
      <c r="A94" s="1" t="s">
        <v>76</v>
      </c>
      <c r="B94" s="1">
        <v>5</v>
      </c>
      <c r="D94" s="1">
        <v>3</v>
      </c>
      <c r="E94" s="1" t="s">
        <v>1</v>
      </c>
      <c r="H94" s="32">
        <v>-3.7260000000000001E-2</v>
      </c>
      <c r="I94" s="32">
        <v>7.8493E-3</v>
      </c>
    </row>
    <row r="95" spans="1:9">
      <c r="A95" s="1" t="s">
        <v>76</v>
      </c>
      <c r="B95" s="1">
        <v>5</v>
      </c>
      <c r="D95" s="1">
        <v>3</v>
      </c>
      <c r="E95" s="1" t="s">
        <v>2</v>
      </c>
      <c r="H95" s="32">
        <v>-1.9910000000000001E-3</v>
      </c>
      <c r="I95" s="32">
        <v>4.1941999999999999E-4</v>
      </c>
    </row>
    <row r="96" spans="1:9">
      <c r="A96" s="1" t="s">
        <v>76</v>
      </c>
      <c r="B96" s="1">
        <v>5</v>
      </c>
      <c r="D96" s="1">
        <v>2</v>
      </c>
      <c r="E96" s="1" t="s">
        <v>0</v>
      </c>
      <c r="H96" s="32">
        <v>0.40106000000000003</v>
      </c>
      <c r="I96" s="32">
        <v>-8.4489999999999996E-2</v>
      </c>
    </row>
    <row r="97" spans="1:9">
      <c r="A97" s="1" t="s">
        <v>76</v>
      </c>
      <c r="B97" s="1">
        <v>5</v>
      </c>
      <c r="D97" s="1">
        <v>2</v>
      </c>
      <c r="E97" s="1" t="s">
        <v>1</v>
      </c>
      <c r="H97" s="32">
        <v>-6.3899999999999998E-2</v>
      </c>
      <c r="I97" s="32">
        <v>1.3461000000000001E-2</v>
      </c>
    </row>
    <row r="98" spans="1:9">
      <c r="A98" s="1" t="s">
        <v>76</v>
      </c>
      <c r="B98" s="1">
        <v>5</v>
      </c>
      <c r="D98" s="1">
        <v>2</v>
      </c>
      <c r="E98" s="1" t="s">
        <v>2</v>
      </c>
      <c r="H98" s="32">
        <v>-2.2859999999999998E-3</v>
      </c>
      <c r="I98" s="32">
        <v>4.8157000000000001E-4</v>
      </c>
    </row>
    <row r="99" spans="1:9">
      <c r="A99" s="1" t="s">
        <v>76</v>
      </c>
      <c r="B99" s="1">
        <v>5</v>
      </c>
      <c r="D99" s="1">
        <v>1</v>
      </c>
      <c r="E99" s="1" t="s">
        <v>0</v>
      </c>
      <c r="H99" s="32">
        <v>0.26617000000000002</v>
      </c>
      <c r="I99" s="32">
        <v>-5.6079999999999998E-2</v>
      </c>
    </row>
    <row r="100" spans="1:9">
      <c r="A100" s="1" t="s">
        <v>76</v>
      </c>
      <c r="B100" s="1">
        <v>5</v>
      </c>
      <c r="D100" s="1">
        <v>1</v>
      </c>
      <c r="E100" s="1" t="s">
        <v>1</v>
      </c>
      <c r="H100" s="32">
        <v>-4.4220000000000002E-2</v>
      </c>
      <c r="I100" s="32">
        <v>9.3151999999999992E-3</v>
      </c>
    </row>
    <row r="101" spans="1:9">
      <c r="A101" s="1" t="s">
        <v>76</v>
      </c>
      <c r="B101" s="1">
        <v>5</v>
      </c>
      <c r="D101" s="1">
        <v>1</v>
      </c>
      <c r="E101" s="1" t="s">
        <v>2</v>
      </c>
      <c r="H101" s="32">
        <v>-1.201E-3</v>
      </c>
      <c r="I101" s="32">
        <v>2.5297999999999998E-4</v>
      </c>
    </row>
    <row r="102" spans="1:9">
      <c r="A102" s="1" t="s">
        <v>76</v>
      </c>
      <c r="B102" s="1">
        <v>6</v>
      </c>
      <c r="E102" s="1" t="s">
        <v>79</v>
      </c>
      <c r="H102" s="1">
        <v>0.1482</v>
      </c>
      <c r="I102" s="1">
        <v>0.1482</v>
      </c>
    </row>
    <row r="103" spans="1:9">
      <c r="A103" s="1" t="s">
        <v>76</v>
      </c>
      <c r="B103" s="1">
        <v>6</v>
      </c>
      <c r="E103" s="1" t="s">
        <v>80</v>
      </c>
      <c r="H103" s="1">
        <v>7.1999999999999995E-2</v>
      </c>
      <c r="I103" s="1">
        <v>2.1480000000000001</v>
      </c>
    </row>
    <row r="104" spans="1:9">
      <c r="A104" s="1" t="s">
        <v>76</v>
      </c>
      <c r="B104" s="1">
        <v>6</v>
      </c>
      <c r="C104" s="1">
        <v>0.14799999999999999</v>
      </c>
      <c r="D104" s="1">
        <v>5</v>
      </c>
      <c r="E104" s="1" t="s">
        <v>0</v>
      </c>
      <c r="H104" s="32">
        <v>1.8903E-2</v>
      </c>
      <c r="I104" s="32">
        <v>0.10352</v>
      </c>
    </row>
    <row r="105" spans="1:9">
      <c r="A105" s="1" t="s">
        <v>76</v>
      </c>
      <c r="B105" s="1">
        <v>6</v>
      </c>
      <c r="D105" s="1">
        <v>5</v>
      </c>
      <c r="E105" s="1" t="s">
        <v>1</v>
      </c>
      <c r="H105" s="32">
        <v>-5.1380000000000002E-2</v>
      </c>
      <c r="I105" s="32">
        <v>-0.28129999999999999</v>
      </c>
    </row>
    <row r="106" spans="1:9">
      <c r="A106" s="1" t="s">
        <v>76</v>
      </c>
      <c r="B106" s="1">
        <v>6</v>
      </c>
      <c r="D106" s="1">
        <v>5</v>
      </c>
      <c r="E106" s="1" t="s">
        <v>2</v>
      </c>
      <c r="H106" s="32">
        <v>3.5953999999999999E-3</v>
      </c>
      <c r="I106" s="32">
        <v>1.9689000000000002E-2</v>
      </c>
    </row>
    <row r="107" spans="1:9">
      <c r="A107" s="1" t="s">
        <v>76</v>
      </c>
      <c r="B107" s="1">
        <v>6</v>
      </c>
      <c r="D107" s="1">
        <v>4</v>
      </c>
      <c r="E107" s="1" t="s">
        <v>0</v>
      </c>
      <c r="H107" s="32">
        <v>3.8552E-3</v>
      </c>
      <c r="I107" s="32">
        <v>2.1111000000000001E-2</v>
      </c>
    </row>
    <row r="108" spans="1:9">
      <c r="A108" s="1" t="s">
        <v>76</v>
      </c>
      <c r="B108" s="1">
        <v>6</v>
      </c>
      <c r="D108" s="1">
        <v>4</v>
      </c>
      <c r="E108" s="1" t="s">
        <v>1</v>
      </c>
      <c r="H108" s="32">
        <v>-1.027E-2</v>
      </c>
      <c r="I108" s="32">
        <v>-5.6230000000000002E-2</v>
      </c>
    </row>
    <row r="109" spans="1:9">
      <c r="A109" s="1" t="s">
        <v>76</v>
      </c>
      <c r="B109" s="1">
        <v>6</v>
      </c>
      <c r="D109" s="1">
        <v>4</v>
      </c>
      <c r="E109" s="1" t="s">
        <v>2</v>
      </c>
      <c r="H109" s="32">
        <v>6.7880000000000002E-4</v>
      </c>
      <c r="I109" s="32">
        <v>3.7171000000000001E-3</v>
      </c>
    </row>
    <row r="110" spans="1:9">
      <c r="A110" s="1" t="s">
        <v>76</v>
      </c>
      <c r="B110" s="1">
        <v>6</v>
      </c>
      <c r="D110" s="1">
        <v>3</v>
      </c>
      <c r="E110" s="1" t="s">
        <v>0</v>
      </c>
      <c r="H110" s="32">
        <v>-1.167E-2</v>
      </c>
      <c r="I110" s="32">
        <v>-6.3930000000000001E-2</v>
      </c>
    </row>
    <row r="111" spans="1:9">
      <c r="A111" s="1" t="s">
        <v>76</v>
      </c>
      <c r="B111" s="1">
        <v>6</v>
      </c>
      <c r="D111" s="1">
        <v>3</v>
      </c>
      <c r="E111" s="1" t="s">
        <v>1</v>
      </c>
      <c r="H111" s="32">
        <v>3.2096E-2</v>
      </c>
      <c r="I111" s="32">
        <v>0.17576</v>
      </c>
    </row>
    <row r="112" spans="1:9">
      <c r="A112" s="1" t="s">
        <v>76</v>
      </c>
      <c r="B112" s="1">
        <v>6</v>
      </c>
      <c r="D112" s="1">
        <v>3</v>
      </c>
      <c r="E112" s="1" t="s">
        <v>2</v>
      </c>
      <c r="H112" s="32">
        <v>-2.2539999999999999E-3</v>
      </c>
      <c r="I112" s="32">
        <v>-1.234E-2</v>
      </c>
    </row>
    <row r="113" spans="1:9">
      <c r="A113" s="1" t="s">
        <v>76</v>
      </c>
      <c r="B113" s="1">
        <v>6</v>
      </c>
      <c r="D113" s="1">
        <v>2</v>
      </c>
      <c r="E113" s="1" t="s">
        <v>0</v>
      </c>
      <c r="H113" s="32">
        <v>-1.8079999999999999E-2</v>
      </c>
      <c r="I113" s="32">
        <v>-9.9019999999999997E-2</v>
      </c>
    </row>
    <row r="114" spans="1:9">
      <c r="A114" s="1" t="s">
        <v>76</v>
      </c>
      <c r="B114" s="1">
        <v>6</v>
      </c>
      <c r="D114" s="1">
        <v>2</v>
      </c>
      <c r="E114" s="1" t="s">
        <v>1</v>
      </c>
      <c r="H114" s="32">
        <v>5.0865E-2</v>
      </c>
      <c r="I114" s="32">
        <v>0.27854000000000001</v>
      </c>
    </row>
    <row r="115" spans="1:9">
      <c r="A115" s="1" t="s">
        <v>76</v>
      </c>
      <c r="B115" s="1">
        <v>6</v>
      </c>
      <c r="D115" s="1">
        <v>2</v>
      </c>
      <c r="E115" s="1" t="s">
        <v>2</v>
      </c>
      <c r="H115" s="32">
        <v>-3.4680000000000002E-3</v>
      </c>
      <c r="I115" s="32">
        <v>-1.899E-2</v>
      </c>
    </row>
    <row r="116" spans="1:9">
      <c r="A116" s="1" t="s">
        <v>76</v>
      </c>
      <c r="B116" s="1">
        <v>6</v>
      </c>
      <c r="D116" s="1">
        <v>1</v>
      </c>
      <c r="E116" s="1" t="s">
        <v>0</v>
      </c>
      <c r="H116" s="32">
        <v>-1.1440000000000001E-2</v>
      </c>
      <c r="I116" s="32">
        <v>-6.2659999999999993E-2</v>
      </c>
    </row>
    <row r="117" spans="1:9">
      <c r="A117" s="1" t="s">
        <v>76</v>
      </c>
      <c r="B117" s="1">
        <v>6</v>
      </c>
      <c r="D117" s="1">
        <v>1</v>
      </c>
      <c r="E117" s="1" t="s">
        <v>1</v>
      </c>
      <c r="H117" s="32">
        <v>3.4036999999999998E-2</v>
      </c>
      <c r="I117" s="32">
        <v>0.18639</v>
      </c>
    </row>
    <row r="118" spans="1:9">
      <c r="A118" s="1" t="s">
        <v>76</v>
      </c>
      <c r="B118" s="1">
        <v>6</v>
      </c>
      <c r="D118" s="1">
        <v>1</v>
      </c>
      <c r="E118" s="1" t="s">
        <v>2</v>
      </c>
      <c r="H118" s="32">
        <v>-2.2300000000000002E-3</v>
      </c>
      <c r="I118" s="32">
        <v>-1.221E-2</v>
      </c>
    </row>
    <row r="119" spans="1:9">
      <c r="A119" s="1" t="s">
        <v>76</v>
      </c>
      <c r="B119" s="1">
        <v>7</v>
      </c>
      <c r="E119" s="1" t="s">
        <v>79</v>
      </c>
      <c r="H119" s="1">
        <v>9.9400000000000002E-2</v>
      </c>
      <c r="I119" s="1">
        <v>9.9400000000000002E-2</v>
      </c>
    </row>
    <row r="120" spans="1:9">
      <c r="A120" s="1" t="s">
        <v>76</v>
      </c>
      <c r="B120" s="1">
        <v>7</v>
      </c>
      <c r="E120" s="1" t="s">
        <v>80</v>
      </c>
      <c r="H120" s="1">
        <v>0.92400000000000004</v>
      </c>
      <c r="I120" s="1">
        <v>1.5960000000000001</v>
      </c>
    </row>
    <row r="121" spans="1:9">
      <c r="A121" s="1" t="s">
        <v>76</v>
      </c>
      <c r="B121" s="1">
        <v>7</v>
      </c>
      <c r="C121" s="1">
        <v>9.9000000000000005E-2</v>
      </c>
      <c r="D121" s="1">
        <v>5</v>
      </c>
      <c r="E121" s="1" t="s">
        <v>0</v>
      </c>
      <c r="H121" s="32">
        <v>4.5411E-2</v>
      </c>
      <c r="I121" s="32">
        <v>5.9679999999999997E-2</v>
      </c>
    </row>
    <row r="122" spans="1:9">
      <c r="A122" s="1" t="s">
        <v>76</v>
      </c>
      <c r="B122" s="1">
        <v>7</v>
      </c>
      <c r="D122" s="1">
        <v>5</v>
      </c>
      <c r="E122" s="1" t="s">
        <v>1</v>
      </c>
      <c r="H122" s="32">
        <v>1.6948999999999999E-2</v>
      </c>
      <c r="I122" s="32">
        <v>2.2273999999999999E-2</v>
      </c>
    </row>
    <row r="123" spans="1:9">
      <c r="A123" s="1" t="s">
        <v>76</v>
      </c>
      <c r="B123" s="1">
        <v>7</v>
      </c>
      <c r="D123" s="1">
        <v>5</v>
      </c>
      <c r="E123" s="1" t="s">
        <v>2</v>
      </c>
      <c r="H123" s="32">
        <v>2.3183000000000001E-3</v>
      </c>
      <c r="I123" s="32">
        <v>3.0466999999999998E-3</v>
      </c>
    </row>
    <row r="124" spans="1:9">
      <c r="A124" s="1" t="s">
        <v>76</v>
      </c>
      <c r="B124" s="1">
        <v>7</v>
      </c>
      <c r="D124" s="1">
        <v>4</v>
      </c>
      <c r="E124" s="1" t="s">
        <v>0</v>
      </c>
      <c r="H124" s="32">
        <v>-4.1759999999999999E-2</v>
      </c>
      <c r="I124" s="32">
        <v>-5.4879999999999998E-2</v>
      </c>
    </row>
    <row r="125" spans="1:9">
      <c r="A125" s="1" t="s">
        <v>76</v>
      </c>
      <c r="B125" s="1">
        <v>7</v>
      </c>
      <c r="D125" s="1">
        <v>4</v>
      </c>
      <c r="E125" s="1" t="s">
        <v>1</v>
      </c>
      <c r="H125" s="32">
        <v>-1.555E-2</v>
      </c>
      <c r="I125" s="32">
        <v>-2.044E-2</v>
      </c>
    </row>
    <row r="126" spans="1:9">
      <c r="A126" s="1" t="s">
        <v>76</v>
      </c>
      <c r="B126" s="1">
        <v>7</v>
      </c>
      <c r="D126" s="1">
        <v>4</v>
      </c>
      <c r="E126" s="1" t="s">
        <v>2</v>
      </c>
      <c r="H126" s="32">
        <v>-2.1789999999999999E-3</v>
      </c>
      <c r="I126" s="32">
        <v>-2.8639999999999998E-3</v>
      </c>
    </row>
    <row r="127" spans="1:9">
      <c r="A127" s="1" t="s">
        <v>76</v>
      </c>
      <c r="B127" s="1">
        <v>7</v>
      </c>
      <c r="D127" s="1">
        <v>3</v>
      </c>
      <c r="E127" s="1" t="s">
        <v>0</v>
      </c>
      <c r="H127" s="32">
        <v>-4.122E-2</v>
      </c>
      <c r="I127" s="32">
        <v>-5.4170000000000003E-2</v>
      </c>
    </row>
    <row r="128" spans="1:9">
      <c r="A128" s="1" t="s">
        <v>76</v>
      </c>
      <c r="B128" s="1">
        <v>7</v>
      </c>
      <c r="D128" s="1">
        <v>3</v>
      </c>
      <c r="E128" s="1" t="s">
        <v>1</v>
      </c>
      <c r="H128" s="32">
        <v>-2.0140000000000002E-2</v>
      </c>
      <c r="I128" s="32">
        <v>-2.647E-2</v>
      </c>
    </row>
    <row r="129" spans="1:9">
      <c r="A129" s="1" t="s">
        <v>76</v>
      </c>
      <c r="B129" s="1">
        <v>7</v>
      </c>
      <c r="D129" s="1">
        <v>3</v>
      </c>
      <c r="E129" s="1" t="s">
        <v>2</v>
      </c>
      <c r="H129" s="32">
        <v>-1.797E-3</v>
      </c>
      <c r="I129" s="32">
        <v>-2.362E-3</v>
      </c>
    </row>
    <row r="130" spans="1:9">
      <c r="A130" s="1" t="s">
        <v>76</v>
      </c>
      <c r="B130" s="1">
        <v>7</v>
      </c>
      <c r="D130" s="1">
        <v>2</v>
      </c>
      <c r="E130" s="1" t="s">
        <v>0</v>
      </c>
      <c r="H130" s="32">
        <v>3.5626999999999999E-2</v>
      </c>
      <c r="I130" s="32">
        <v>4.6821000000000002E-2</v>
      </c>
    </row>
    <row r="131" spans="1:9">
      <c r="A131" s="1" t="s">
        <v>76</v>
      </c>
      <c r="B131" s="1">
        <v>7</v>
      </c>
      <c r="D131" s="1">
        <v>2</v>
      </c>
      <c r="E131" s="1" t="s">
        <v>1</v>
      </c>
      <c r="H131" s="32">
        <v>5.9240999999999999E-3</v>
      </c>
      <c r="I131" s="32">
        <v>7.7856000000000002E-3</v>
      </c>
    </row>
    <row r="132" spans="1:9">
      <c r="A132" s="1" t="s">
        <v>76</v>
      </c>
      <c r="B132" s="1">
        <v>7</v>
      </c>
      <c r="D132" s="1">
        <v>2</v>
      </c>
      <c r="E132" s="1" t="s">
        <v>2</v>
      </c>
      <c r="H132" s="32">
        <v>2.2918999999999999E-3</v>
      </c>
      <c r="I132" s="32">
        <v>3.0121000000000002E-3</v>
      </c>
    </row>
    <row r="133" spans="1:9">
      <c r="A133" s="1" t="s">
        <v>76</v>
      </c>
      <c r="B133" s="1">
        <v>7</v>
      </c>
      <c r="D133" s="1">
        <v>1</v>
      </c>
      <c r="E133" s="1" t="s">
        <v>0</v>
      </c>
      <c r="H133" s="32">
        <v>5.4077E-2</v>
      </c>
      <c r="I133" s="32">
        <v>7.1068000000000006E-2</v>
      </c>
    </row>
    <row r="134" spans="1:9">
      <c r="A134" s="1" t="s">
        <v>76</v>
      </c>
      <c r="B134" s="1">
        <v>7</v>
      </c>
      <c r="D134" s="1">
        <v>1</v>
      </c>
      <c r="E134" s="1" t="s">
        <v>1</v>
      </c>
      <c r="H134" s="32">
        <v>1.9779999999999999E-2</v>
      </c>
      <c r="I134" s="32">
        <v>2.5995000000000001E-2</v>
      </c>
    </row>
    <row r="135" spans="1:9">
      <c r="A135" s="1" t="s">
        <v>76</v>
      </c>
      <c r="B135" s="1">
        <v>7</v>
      </c>
      <c r="D135" s="1">
        <v>1</v>
      </c>
      <c r="E135" s="1" t="s">
        <v>2</v>
      </c>
      <c r="H135" s="32">
        <v>2.7745999999999999E-3</v>
      </c>
      <c r="I135" s="32">
        <v>3.6462999999999999E-3</v>
      </c>
    </row>
    <row r="136" spans="1:9">
      <c r="A136" s="1" t="s">
        <v>76</v>
      </c>
      <c r="B136" s="1">
        <v>8</v>
      </c>
      <c r="E136" s="1" t="s">
        <v>79</v>
      </c>
      <c r="H136" s="1">
        <v>9.7900000000000001E-2</v>
      </c>
      <c r="I136" s="1">
        <v>9.7900000000000001E-2</v>
      </c>
    </row>
    <row r="137" spans="1:9">
      <c r="A137" s="1" t="s">
        <v>76</v>
      </c>
      <c r="B137" s="1">
        <v>8</v>
      </c>
      <c r="E137" s="1" t="s">
        <v>80</v>
      </c>
      <c r="H137" s="1">
        <v>2.0099999999999998</v>
      </c>
      <c r="I137" s="1">
        <v>0.94499999999999995</v>
      </c>
    </row>
    <row r="138" spans="1:9">
      <c r="A138" s="1" t="s">
        <v>76</v>
      </c>
      <c r="B138" s="1">
        <v>8</v>
      </c>
      <c r="C138" s="1">
        <v>9.8000000000000004E-2</v>
      </c>
      <c r="D138" s="1">
        <v>5</v>
      </c>
      <c r="E138" s="1" t="s">
        <v>0</v>
      </c>
      <c r="H138" s="32">
        <v>5.5459000000000001E-2</v>
      </c>
      <c r="I138" s="32">
        <v>-3.8030000000000001E-2</v>
      </c>
    </row>
    <row r="139" spans="1:9">
      <c r="A139" s="1" t="s">
        <v>76</v>
      </c>
      <c r="B139" s="1">
        <v>8</v>
      </c>
      <c r="D139" s="1">
        <v>5</v>
      </c>
      <c r="E139" s="1" t="s">
        <v>1</v>
      </c>
      <c r="H139" s="32">
        <v>-3.0360000000000002E-2</v>
      </c>
      <c r="I139" s="32">
        <v>2.0816000000000001E-2</v>
      </c>
    </row>
    <row r="140" spans="1:9">
      <c r="A140" s="1" t="s">
        <v>76</v>
      </c>
      <c r="B140" s="1">
        <v>8</v>
      </c>
      <c r="D140" s="1">
        <v>5</v>
      </c>
      <c r="E140" s="1" t="s">
        <v>2</v>
      </c>
      <c r="H140" s="32">
        <v>-1.3829999999999999E-3</v>
      </c>
      <c r="I140" s="32">
        <v>9.4855000000000004E-4</v>
      </c>
    </row>
    <row r="141" spans="1:9">
      <c r="A141" s="1" t="s">
        <v>76</v>
      </c>
      <c r="B141" s="1">
        <v>8</v>
      </c>
      <c r="D141" s="1">
        <v>4</v>
      </c>
      <c r="E141" s="1" t="s">
        <v>0</v>
      </c>
      <c r="H141" s="32">
        <v>-4.9680000000000002E-2</v>
      </c>
      <c r="I141" s="32">
        <v>3.4063999999999997E-2</v>
      </c>
    </row>
    <row r="142" spans="1:9">
      <c r="A142" s="1" t="s">
        <v>76</v>
      </c>
      <c r="B142" s="1">
        <v>8</v>
      </c>
      <c r="D142" s="1">
        <v>4</v>
      </c>
      <c r="E142" s="1" t="s">
        <v>1</v>
      </c>
      <c r="H142" s="32">
        <v>2.6501E-2</v>
      </c>
      <c r="I142" s="32">
        <v>-1.8169999999999999E-2</v>
      </c>
    </row>
    <row r="143" spans="1:9">
      <c r="A143" s="1" t="s">
        <v>76</v>
      </c>
      <c r="B143" s="1">
        <v>8</v>
      </c>
      <c r="D143" s="1">
        <v>4</v>
      </c>
      <c r="E143" s="1" t="s">
        <v>2</v>
      </c>
      <c r="H143" s="32">
        <v>1.4372E-3</v>
      </c>
      <c r="I143" s="32">
        <v>-9.856000000000001E-4</v>
      </c>
    </row>
    <row r="144" spans="1:9">
      <c r="A144" s="1" t="s">
        <v>76</v>
      </c>
      <c r="B144" s="1">
        <v>8</v>
      </c>
      <c r="D144" s="1">
        <v>3</v>
      </c>
      <c r="E144" s="1" t="s">
        <v>0</v>
      </c>
      <c r="H144" s="32">
        <v>-5.5989999999999998E-2</v>
      </c>
      <c r="I144" s="32">
        <v>3.8392999999999997E-2</v>
      </c>
    </row>
    <row r="145" spans="1:9">
      <c r="A145" s="1" t="s">
        <v>76</v>
      </c>
      <c r="B145" s="1">
        <v>8</v>
      </c>
      <c r="D145" s="1">
        <v>3</v>
      </c>
      <c r="E145" s="1" t="s">
        <v>1</v>
      </c>
      <c r="H145" s="32">
        <v>3.0679999999999999E-2</v>
      </c>
      <c r="I145" s="32">
        <v>-2.104E-2</v>
      </c>
    </row>
    <row r="146" spans="1:9">
      <c r="A146" s="1" t="s">
        <v>76</v>
      </c>
      <c r="B146" s="1">
        <v>8</v>
      </c>
      <c r="D146" s="1">
        <v>3</v>
      </c>
      <c r="E146" s="1" t="s">
        <v>2</v>
      </c>
      <c r="H146" s="32">
        <v>1.1812000000000001E-3</v>
      </c>
      <c r="I146" s="32">
        <v>-8.0999999999999996E-4</v>
      </c>
    </row>
    <row r="147" spans="1:9">
      <c r="A147" s="1" t="s">
        <v>76</v>
      </c>
      <c r="B147" s="1">
        <v>8</v>
      </c>
      <c r="D147" s="1">
        <v>2</v>
      </c>
      <c r="E147" s="1" t="s">
        <v>0</v>
      </c>
      <c r="H147" s="32">
        <v>3.5464000000000002E-2</v>
      </c>
      <c r="I147" s="32">
        <v>-2.4320000000000001E-2</v>
      </c>
    </row>
    <row r="148" spans="1:9">
      <c r="A148" s="1" t="s">
        <v>76</v>
      </c>
      <c r="B148" s="1">
        <v>8</v>
      </c>
      <c r="D148" s="1">
        <v>2</v>
      </c>
      <c r="E148" s="1" t="s">
        <v>1</v>
      </c>
      <c r="H148" s="32">
        <v>-1.7950000000000001E-2</v>
      </c>
      <c r="I148" s="32">
        <v>1.2311000000000001E-2</v>
      </c>
    </row>
    <row r="149" spans="1:9">
      <c r="A149" s="1" t="s">
        <v>76</v>
      </c>
      <c r="B149" s="1">
        <v>8</v>
      </c>
      <c r="D149" s="1">
        <v>2</v>
      </c>
      <c r="E149" s="1" t="s">
        <v>2</v>
      </c>
      <c r="H149" s="32">
        <v>-1.328E-3</v>
      </c>
      <c r="I149" s="32">
        <v>9.1036000000000003E-4</v>
      </c>
    </row>
    <row r="150" spans="1:9">
      <c r="A150" s="1" t="s">
        <v>76</v>
      </c>
      <c r="B150" s="1">
        <v>8</v>
      </c>
      <c r="D150" s="1">
        <v>1</v>
      </c>
      <c r="E150" s="1" t="s">
        <v>0</v>
      </c>
      <c r="H150" s="32">
        <v>6.8023E-2</v>
      </c>
      <c r="I150" s="32">
        <v>-4.6649999999999997E-2</v>
      </c>
    </row>
    <row r="151" spans="1:9">
      <c r="A151" s="1" t="s">
        <v>76</v>
      </c>
      <c r="B151" s="1">
        <v>8</v>
      </c>
      <c r="D151" s="1">
        <v>1</v>
      </c>
      <c r="E151" s="1" t="s">
        <v>1</v>
      </c>
      <c r="H151" s="32">
        <v>-3.5630000000000002E-2</v>
      </c>
      <c r="I151" s="32">
        <v>2.4434999999999998E-2</v>
      </c>
    </row>
    <row r="152" spans="1:9">
      <c r="A152" s="1" t="s">
        <v>76</v>
      </c>
      <c r="B152" s="1">
        <v>8</v>
      </c>
      <c r="D152" s="1">
        <v>1</v>
      </c>
      <c r="E152" s="1" t="s">
        <v>2</v>
      </c>
      <c r="H152" s="32">
        <v>-1.7489999999999999E-3</v>
      </c>
      <c r="I152" s="32">
        <v>1.1992999999999999E-3</v>
      </c>
    </row>
    <row r="153" spans="1:9">
      <c r="A153" s="1" t="s">
        <v>76</v>
      </c>
      <c r="B153" s="1">
        <v>9</v>
      </c>
      <c r="E153" s="1" t="s">
        <v>79</v>
      </c>
      <c r="H153" s="1">
        <v>8.2199999999999995E-2</v>
      </c>
      <c r="I153" s="1">
        <v>8.2199999999999995E-2</v>
      </c>
    </row>
    <row r="154" spans="1:9">
      <c r="A154" s="1" t="s">
        <v>76</v>
      </c>
      <c r="B154" s="1">
        <v>9</v>
      </c>
      <c r="E154" s="1" t="s">
        <v>80</v>
      </c>
      <c r="H154" s="1">
        <v>5.8999999999999997E-2</v>
      </c>
      <c r="I154" s="1">
        <v>0.48599999999999999</v>
      </c>
    </row>
    <row r="155" spans="1:9">
      <c r="A155" s="1" t="s">
        <v>76</v>
      </c>
      <c r="B155" s="1">
        <v>9</v>
      </c>
      <c r="C155" s="1">
        <v>8.2000000000000003E-2</v>
      </c>
      <c r="D155" s="1">
        <v>5</v>
      </c>
      <c r="E155" s="1" t="s">
        <v>0</v>
      </c>
      <c r="H155" s="32">
        <v>-6.3949999999999996E-3</v>
      </c>
      <c r="I155" s="32">
        <v>-1.8419999999999999E-2</v>
      </c>
    </row>
    <row r="156" spans="1:9">
      <c r="A156" s="1" t="s">
        <v>76</v>
      </c>
      <c r="B156" s="1">
        <v>9</v>
      </c>
      <c r="D156" s="1">
        <v>5</v>
      </c>
      <c r="E156" s="1" t="s">
        <v>1</v>
      </c>
      <c r="H156" s="32">
        <v>1.5793000000000001E-2</v>
      </c>
      <c r="I156" s="32">
        <v>4.5489000000000002E-2</v>
      </c>
    </row>
    <row r="157" spans="1:9">
      <c r="A157" s="1" t="s">
        <v>76</v>
      </c>
      <c r="B157" s="1">
        <v>9</v>
      </c>
      <c r="D157" s="1">
        <v>5</v>
      </c>
      <c r="E157" s="1" t="s">
        <v>2</v>
      </c>
      <c r="H157" s="32">
        <v>-1.2080000000000001E-3</v>
      </c>
      <c r="I157" s="32">
        <v>-3.4780000000000002E-3</v>
      </c>
    </row>
    <row r="158" spans="1:9">
      <c r="A158" s="1" t="s">
        <v>76</v>
      </c>
      <c r="B158" s="1">
        <v>9</v>
      </c>
      <c r="D158" s="1">
        <v>4</v>
      </c>
      <c r="E158" s="1" t="s">
        <v>0</v>
      </c>
      <c r="H158" s="32">
        <v>5.6902000000000003E-3</v>
      </c>
      <c r="I158" s="32">
        <v>1.6389000000000001E-2</v>
      </c>
    </row>
    <row r="159" spans="1:9">
      <c r="A159" s="1" t="s">
        <v>76</v>
      </c>
      <c r="B159" s="1">
        <v>9</v>
      </c>
      <c r="D159" s="1">
        <v>4</v>
      </c>
      <c r="E159" s="1" t="s">
        <v>1</v>
      </c>
      <c r="H159" s="32">
        <v>-1.3650000000000001E-2</v>
      </c>
      <c r="I159" s="32">
        <v>-3.9309999999999998E-2</v>
      </c>
    </row>
    <row r="160" spans="1:9">
      <c r="A160" s="1" t="s">
        <v>76</v>
      </c>
      <c r="B160" s="1">
        <v>9</v>
      </c>
      <c r="D160" s="1">
        <v>4</v>
      </c>
      <c r="E160" s="1" t="s">
        <v>2</v>
      </c>
      <c r="H160" s="32">
        <v>1.0614000000000001E-3</v>
      </c>
      <c r="I160" s="32">
        <v>3.0571000000000001E-3</v>
      </c>
    </row>
    <row r="161" spans="1:9">
      <c r="A161" s="1" t="s">
        <v>76</v>
      </c>
      <c r="B161" s="1">
        <v>9</v>
      </c>
      <c r="D161" s="1">
        <v>3</v>
      </c>
      <c r="E161" s="1" t="s">
        <v>0</v>
      </c>
      <c r="H161" s="32">
        <v>5.1786999999999996E-3</v>
      </c>
      <c r="I161" s="32">
        <v>1.4916E-2</v>
      </c>
    </row>
    <row r="162" spans="1:9">
      <c r="A162" s="1" t="s">
        <v>76</v>
      </c>
      <c r="B162" s="1">
        <v>9</v>
      </c>
      <c r="D162" s="1">
        <v>3</v>
      </c>
      <c r="E162" s="1" t="s">
        <v>1</v>
      </c>
      <c r="H162" s="32">
        <v>-1.521E-2</v>
      </c>
      <c r="I162" s="32">
        <v>-4.3819999999999998E-2</v>
      </c>
    </row>
    <row r="163" spans="1:9">
      <c r="A163" s="1" t="s">
        <v>76</v>
      </c>
      <c r="B163" s="1">
        <v>9</v>
      </c>
      <c r="D163" s="1">
        <v>3</v>
      </c>
      <c r="E163" s="1" t="s">
        <v>2</v>
      </c>
      <c r="H163" s="32">
        <v>1.0753E-3</v>
      </c>
      <c r="I163" s="32">
        <v>3.0972999999999999E-3</v>
      </c>
    </row>
    <row r="164" spans="1:9">
      <c r="A164" s="1" t="s">
        <v>76</v>
      </c>
      <c r="B164" s="1">
        <v>9</v>
      </c>
      <c r="D164" s="1">
        <v>2</v>
      </c>
      <c r="E164" s="1" t="s">
        <v>0</v>
      </c>
      <c r="H164" s="32">
        <v>-4.9389999999999998E-3</v>
      </c>
      <c r="I164" s="32">
        <v>-1.422E-2</v>
      </c>
    </row>
    <row r="165" spans="1:9">
      <c r="A165" s="1" t="s">
        <v>76</v>
      </c>
      <c r="B165" s="1">
        <v>9</v>
      </c>
      <c r="D165" s="1">
        <v>2</v>
      </c>
      <c r="E165" s="1" t="s">
        <v>1</v>
      </c>
      <c r="H165" s="32">
        <v>1.0312E-2</v>
      </c>
      <c r="I165" s="32">
        <v>2.9701999999999999E-2</v>
      </c>
    </row>
    <row r="166" spans="1:9">
      <c r="A166" s="1" t="s">
        <v>76</v>
      </c>
      <c r="B166" s="1">
        <v>9</v>
      </c>
      <c r="D166" s="1">
        <v>2</v>
      </c>
      <c r="E166" s="1" t="s">
        <v>2</v>
      </c>
      <c r="H166" s="32">
        <v>-8.5240000000000001E-4</v>
      </c>
      <c r="I166" s="32">
        <v>-2.4550000000000002E-3</v>
      </c>
    </row>
    <row r="167" spans="1:9">
      <c r="A167" s="1" t="s">
        <v>76</v>
      </c>
      <c r="B167" s="1">
        <v>9</v>
      </c>
      <c r="D167" s="1">
        <v>1</v>
      </c>
      <c r="E167" s="1" t="s">
        <v>0</v>
      </c>
      <c r="H167" s="32">
        <v>-6.2820000000000003E-3</v>
      </c>
      <c r="I167" s="32">
        <v>-1.8089999999999998E-2</v>
      </c>
    </row>
    <row r="168" spans="1:9">
      <c r="A168" s="1" t="s">
        <v>76</v>
      </c>
      <c r="B168" s="1">
        <v>9</v>
      </c>
      <c r="D168" s="1">
        <v>1</v>
      </c>
      <c r="E168" s="1" t="s">
        <v>1</v>
      </c>
      <c r="H168" s="32">
        <v>1.8970999999999998E-2</v>
      </c>
      <c r="I168" s="32">
        <v>5.4642000000000003E-2</v>
      </c>
    </row>
    <row r="169" spans="1:9">
      <c r="A169" s="1" t="s">
        <v>76</v>
      </c>
      <c r="B169" s="1">
        <v>9</v>
      </c>
      <c r="D169" s="1">
        <v>1</v>
      </c>
      <c r="E169" s="1" t="s">
        <v>2</v>
      </c>
      <c r="H169" s="32">
        <v>-1.3359999999999999E-3</v>
      </c>
      <c r="I169" s="32">
        <v>-3.849E-3</v>
      </c>
    </row>
    <row r="170" spans="1:9">
      <c r="A170" s="1" t="s">
        <v>76</v>
      </c>
      <c r="B170" s="1">
        <v>10</v>
      </c>
      <c r="E170" s="1" t="s">
        <v>79</v>
      </c>
      <c r="H170" s="1">
        <v>6.5699999999999995E-2</v>
      </c>
      <c r="I170" s="1">
        <v>6.5699999999999995E-2</v>
      </c>
    </row>
    <row r="171" spans="1:9">
      <c r="A171" s="1" t="s">
        <v>76</v>
      </c>
      <c r="B171" s="1">
        <v>10</v>
      </c>
      <c r="E171" s="1" t="s">
        <v>80</v>
      </c>
      <c r="H171" s="1">
        <v>1.0900000000000001</v>
      </c>
      <c r="I171" s="1">
        <v>8.7999999999999995E-2</v>
      </c>
    </row>
    <row r="172" spans="1:9">
      <c r="A172" s="1" t="s">
        <v>76</v>
      </c>
      <c r="B172" s="1">
        <v>10</v>
      </c>
      <c r="C172" s="1">
        <v>6.6000000000000003E-2</v>
      </c>
      <c r="D172" s="1">
        <v>5</v>
      </c>
      <c r="E172" s="1" t="s">
        <v>0</v>
      </c>
      <c r="H172" s="32">
        <v>-1.8780000000000002E-2</v>
      </c>
      <c r="I172" s="32">
        <v>-5.3439999999999998E-3</v>
      </c>
    </row>
    <row r="173" spans="1:9">
      <c r="A173" s="1" t="s">
        <v>76</v>
      </c>
      <c r="B173" s="1">
        <v>10</v>
      </c>
      <c r="D173" s="1">
        <v>5</v>
      </c>
      <c r="E173" s="1" t="s">
        <v>1</v>
      </c>
      <c r="H173" s="32">
        <v>-2.6210000000000001E-3</v>
      </c>
      <c r="I173" s="32">
        <v>-7.4569999999999997E-4</v>
      </c>
    </row>
    <row r="174" spans="1:9">
      <c r="A174" s="1" t="s">
        <v>76</v>
      </c>
      <c r="B174" s="1">
        <v>10</v>
      </c>
      <c r="D174" s="1">
        <v>5</v>
      </c>
      <c r="E174" s="1" t="s">
        <v>2</v>
      </c>
      <c r="H174" s="32">
        <v>-2.6049999999999999E-4</v>
      </c>
      <c r="I174" s="32">
        <v>-7.4109999999999993E-5</v>
      </c>
    </row>
    <row r="175" spans="1:9">
      <c r="A175" s="1" t="s">
        <v>76</v>
      </c>
      <c r="B175" s="1">
        <v>10</v>
      </c>
      <c r="D175" s="1">
        <v>4</v>
      </c>
      <c r="E175" s="1" t="s">
        <v>0</v>
      </c>
      <c r="H175" s="32">
        <v>3.9829000000000003E-2</v>
      </c>
      <c r="I175" s="32">
        <v>1.1332E-2</v>
      </c>
    </row>
    <row r="176" spans="1:9">
      <c r="A176" s="1" t="s">
        <v>76</v>
      </c>
      <c r="B176" s="1">
        <v>10</v>
      </c>
      <c r="D176" s="1">
        <v>4</v>
      </c>
      <c r="E176" s="1" t="s">
        <v>1</v>
      </c>
      <c r="H176" s="32">
        <v>4.6689000000000001E-3</v>
      </c>
      <c r="I176" s="32">
        <v>1.3284E-3</v>
      </c>
    </row>
    <row r="177" spans="1:9">
      <c r="A177" s="1" t="s">
        <v>76</v>
      </c>
      <c r="B177" s="1">
        <v>10</v>
      </c>
      <c r="D177" s="1">
        <v>4</v>
      </c>
      <c r="E177" s="1" t="s">
        <v>2</v>
      </c>
      <c r="H177" s="32">
        <v>6.2111000000000002E-4</v>
      </c>
      <c r="I177" s="32">
        <v>1.7672E-4</v>
      </c>
    </row>
    <row r="178" spans="1:9">
      <c r="A178" s="1" t="s">
        <v>76</v>
      </c>
      <c r="B178" s="1">
        <v>10</v>
      </c>
      <c r="D178" s="1">
        <v>3</v>
      </c>
      <c r="E178" s="1" t="s">
        <v>0</v>
      </c>
      <c r="H178" s="32">
        <v>-2.5489999999999999E-2</v>
      </c>
      <c r="I178" s="32">
        <v>-7.2529999999999999E-3</v>
      </c>
    </row>
    <row r="179" spans="1:9">
      <c r="A179" s="1" t="s">
        <v>76</v>
      </c>
      <c r="B179" s="1">
        <v>10</v>
      </c>
      <c r="D179" s="1">
        <v>3</v>
      </c>
      <c r="E179" s="1" t="s">
        <v>1</v>
      </c>
      <c r="H179" s="32">
        <v>1.7907999999999999E-3</v>
      </c>
      <c r="I179" s="32">
        <v>5.0951999999999996E-4</v>
      </c>
    </row>
    <row r="180" spans="1:9">
      <c r="A180" s="1" t="s">
        <v>76</v>
      </c>
      <c r="B180" s="1">
        <v>10</v>
      </c>
      <c r="D180" s="1">
        <v>3</v>
      </c>
      <c r="E180" s="1" t="s">
        <v>2</v>
      </c>
      <c r="H180" s="32">
        <v>-8.0539999999999995E-4</v>
      </c>
      <c r="I180" s="32">
        <v>-2.2919999999999999E-4</v>
      </c>
    </row>
    <row r="181" spans="1:9">
      <c r="A181" s="1" t="s">
        <v>76</v>
      </c>
      <c r="B181" s="1">
        <v>10</v>
      </c>
      <c r="D181" s="1">
        <v>2</v>
      </c>
      <c r="E181" s="1" t="s">
        <v>0</v>
      </c>
      <c r="H181" s="32">
        <v>-1.7330000000000002E-2</v>
      </c>
      <c r="I181" s="32">
        <v>-4.9309999999999996E-3</v>
      </c>
    </row>
    <row r="182" spans="1:9">
      <c r="A182" s="1" t="s">
        <v>76</v>
      </c>
      <c r="B182" s="1">
        <v>10</v>
      </c>
      <c r="D182" s="1">
        <v>2</v>
      </c>
      <c r="E182" s="1" t="s">
        <v>1</v>
      </c>
      <c r="H182" s="32">
        <v>-6.0359999999999997E-3</v>
      </c>
      <c r="I182" s="32">
        <v>-1.717E-3</v>
      </c>
    </row>
    <row r="183" spans="1:9">
      <c r="A183" s="1" t="s">
        <v>76</v>
      </c>
      <c r="B183" s="1">
        <v>10</v>
      </c>
      <c r="D183" s="1">
        <v>2</v>
      </c>
      <c r="E183" s="1" t="s">
        <v>2</v>
      </c>
      <c r="H183" s="32">
        <v>1.2538999999999999E-4</v>
      </c>
      <c r="I183" s="32">
        <v>3.5676000000000002E-5</v>
      </c>
    </row>
    <row r="184" spans="1:9">
      <c r="A184" s="1" t="s">
        <v>76</v>
      </c>
      <c r="B184" s="1">
        <v>10</v>
      </c>
      <c r="D184" s="1">
        <v>1</v>
      </c>
      <c r="E184" s="1" t="s">
        <v>0</v>
      </c>
      <c r="H184" s="32">
        <v>4.6441999999999997E-2</v>
      </c>
      <c r="I184" s="32">
        <v>1.3214E-2</v>
      </c>
    </row>
    <row r="185" spans="1:9">
      <c r="A185" s="1" t="s">
        <v>76</v>
      </c>
      <c r="B185" s="1">
        <v>10</v>
      </c>
      <c r="D185" s="1">
        <v>1</v>
      </c>
      <c r="E185" s="1" t="s">
        <v>1</v>
      </c>
      <c r="H185" s="32">
        <v>-2.859E-3</v>
      </c>
      <c r="I185" s="32">
        <v>-8.1329999999999998E-4</v>
      </c>
    </row>
    <row r="186" spans="1:9">
      <c r="A186" s="1" t="s">
        <v>76</v>
      </c>
      <c r="B186" s="1">
        <v>10</v>
      </c>
      <c r="D186" s="1">
        <v>1</v>
      </c>
      <c r="E186" s="1" t="s">
        <v>2</v>
      </c>
      <c r="H186" s="32">
        <v>1.3675E-3</v>
      </c>
      <c r="I186" s="32">
        <v>3.8907999999999998E-4</v>
      </c>
    </row>
    <row r="187" spans="1:9">
      <c r="A187" s="1" t="s">
        <v>76</v>
      </c>
      <c r="B187" s="1">
        <v>11</v>
      </c>
      <c r="E187" s="1" t="s">
        <v>79</v>
      </c>
      <c r="H187" s="1">
        <v>6.4399999999999999E-2</v>
      </c>
      <c r="I187" s="1">
        <v>6.4399999999999999E-2</v>
      </c>
    </row>
    <row r="188" spans="1:9">
      <c r="A188" s="1" t="s">
        <v>76</v>
      </c>
      <c r="B188" s="1">
        <v>11</v>
      </c>
      <c r="E188" s="1" t="s">
        <v>80</v>
      </c>
      <c r="H188" s="1">
        <v>0.14000000000000001</v>
      </c>
      <c r="I188" s="1">
        <v>1.073</v>
      </c>
    </row>
    <row r="189" spans="1:9">
      <c r="A189" s="1" t="s">
        <v>76</v>
      </c>
      <c r="B189" s="1">
        <v>11</v>
      </c>
      <c r="C189" s="1">
        <v>6.4000000000000001E-2</v>
      </c>
      <c r="D189" s="1">
        <v>5</v>
      </c>
      <c r="E189" s="1" t="s">
        <v>0</v>
      </c>
      <c r="H189" s="32">
        <v>-1.2899999999999999E-3</v>
      </c>
      <c r="I189" s="32">
        <v>3.5663000000000001E-3</v>
      </c>
    </row>
    <row r="190" spans="1:9">
      <c r="A190" s="1" t="s">
        <v>76</v>
      </c>
      <c r="B190" s="1">
        <v>11</v>
      </c>
      <c r="D190" s="1">
        <v>5</v>
      </c>
      <c r="E190" s="1" t="s">
        <v>1</v>
      </c>
      <c r="H190" s="32">
        <v>4.7155000000000001E-3</v>
      </c>
      <c r="I190" s="32">
        <v>-1.304E-2</v>
      </c>
    </row>
    <row r="191" spans="1:9">
      <c r="A191" s="1" t="s">
        <v>76</v>
      </c>
      <c r="B191" s="1">
        <v>11</v>
      </c>
      <c r="D191" s="1">
        <v>5</v>
      </c>
      <c r="E191" s="1" t="s">
        <v>2</v>
      </c>
      <c r="H191" s="32">
        <v>1.1423E-4</v>
      </c>
      <c r="I191" s="32">
        <v>-3.1579999999999998E-4</v>
      </c>
    </row>
    <row r="192" spans="1:9">
      <c r="A192" s="1" t="s">
        <v>76</v>
      </c>
      <c r="B192" s="1">
        <v>11</v>
      </c>
      <c r="D192" s="1">
        <v>4</v>
      </c>
      <c r="E192" s="1" t="s">
        <v>0</v>
      </c>
      <c r="H192" s="32">
        <v>2.5079E-3</v>
      </c>
      <c r="I192" s="32">
        <v>-6.9350000000000002E-3</v>
      </c>
    </row>
    <row r="193" spans="1:9">
      <c r="A193" s="1" t="s">
        <v>76</v>
      </c>
      <c r="B193" s="1">
        <v>11</v>
      </c>
      <c r="D193" s="1">
        <v>4</v>
      </c>
      <c r="E193" s="1" t="s">
        <v>1</v>
      </c>
      <c r="H193" s="32">
        <v>-9.5639999999999996E-3</v>
      </c>
      <c r="I193" s="32">
        <v>2.6445E-2</v>
      </c>
    </row>
    <row r="194" spans="1:9">
      <c r="A194" s="1" t="s">
        <v>76</v>
      </c>
      <c r="B194" s="1">
        <v>11</v>
      </c>
      <c r="D194" s="1">
        <v>4</v>
      </c>
      <c r="E194" s="1" t="s">
        <v>2</v>
      </c>
      <c r="H194" s="32">
        <v>-2.745E-4</v>
      </c>
      <c r="I194" s="32">
        <v>7.5893E-4</v>
      </c>
    </row>
    <row r="195" spans="1:9">
      <c r="A195" s="1" t="s">
        <v>76</v>
      </c>
      <c r="B195" s="1">
        <v>11</v>
      </c>
      <c r="D195" s="1">
        <v>3</v>
      </c>
      <c r="E195" s="1" t="s">
        <v>0</v>
      </c>
      <c r="H195" s="32">
        <v>-4.8119999999999999E-4</v>
      </c>
      <c r="I195" s="32">
        <v>1.3305999999999999E-3</v>
      </c>
    </row>
    <row r="196" spans="1:9">
      <c r="A196" s="1" t="s">
        <v>76</v>
      </c>
      <c r="B196" s="1">
        <v>11</v>
      </c>
      <c r="D196" s="1">
        <v>3</v>
      </c>
      <c r="E196" s="1" t="s">
        <v>1</v>
      </c>
      <c r="H196" s="32">
        <v>4.1659000000000002E-3</v>
      </c>
      <c r="I196" s="32">
        <v>-1.1520000000000001E-2</v>
      </c>
    </row>
    <row r="197" spans="1:9">
      <c r="A197" s="1" t="s">
        <v>76</v>
      </c>
      <c r="B197" s="1">
        <v>11</v>
      </c>
      <c r="D197" s="1">
        <v>3</v>
      </c>
      <c r="E197" s="1" t="s">
        <v>2</v>
      </c>
      <c r="H197" s="32">
        <v>2.9096999999999999E-4</v>
      </c>
      <c r="I197" s="32">
        <v>-8.0449999999999999E-4</v>
      </c>
    </row>
    <row r="198" spans="1:9">
      <c r="A198" s="1" t="s">
        <v>76</v>
      </c>
      <c r="B198" s="1">
        <v>11</v>
      </c>
      <c r="D198" s="1">
        <v>2</v>
      </c>
      <c r="E198" s="1" t="s">
        <v>0</v>
      </c>
      <c r="H198" s="32">
        <v>-2.398E-3</v>
      </c>
      <c r="I198" s="32">
        <v>6.6311E-3</v>
      </c>
    </row>
    <row r="199" spans="1:9">
      <c r="A199" s="1" t="s">
        <v>76</v>
      </c>
      <c r="B199" s="1">
        <v>11</v>
      </c>
      <c r="D199" s="1">
        <v>2</v>
      </c>
      <c r="E199" s="1" t="s">
        <v>1</v>
      </c>
      <c r="H199" s="32">
        <v>5.9236999999999996E-3</v>
      </c>
      <c r="I199" s="32">
        <v>-1.6379999999999999E-2</v>
      </c>
    </row>
    <row r="200" spans="1:9">
      <c r="A200" s="1" t="s">
        <v>76</v>
      </c>
      <c r="B200" s="1">
        <v>11</v>
      </c>
      <c r="D200" s="1">
        <v>2</v>
      </c>
      <c r="E200" s="1" t="s">
        <v>2</v>
      </c>
      <c r="H200" s="32">
        <v>1.6943E-5</v>
      </c>
      <c r="I200" s="32">
        <v>-4.685E-5</v>
      </c>
    </row>
    <row r="201" spans="1:9">
      <c r="A201" s="1" t="s">
        <v>76</v>
      </c>
      <c r="B201" s="1">
        <v>11</v>
      </c>
      <c r="D201" s="1">
        <v>1</v>
      </c>
      <c r="E201" s="1" t="s">
        <v>0</v>
      </c>
      <c r="H201" s="32">
        <v>1.7365E-3</v>
      </c>
      <c r="I201" s="32">
        <v>-4.8019999999999998E-3</v>
      </c>
    </row>
    <row r="202" spans="1:9">
      <c r="A202" s="1" t="s">
        <v>76</v>
      </c>
      <c r="B202" s="1">
        <v>11</v>
      </c>
      <c r="D202" s="1">
        <v>1</v>
      </c>
      <c r="E202" s="1" t="s">
        <v>1</v>
      </c>
      <c r="H202" s="32">
        <v>-8.2450000000000006E-3</v>
      </c>
      <c r="I202" s="32">
        <v>2.2797000000000001E-2</v>
      </c>
    </row>
    <row r="203" spans="1:9">
      <c r="A203" s="1" t="s">
        <v>76</v>
      </c>
      <c r="B203" s="1">
        <v>11</v>
      </c>
      <c r="D203" s="1">
        <v>1</v>
      </c>
      <c r="E203" s="1" t="s">
        <v>2</v>
      </c>
      <c r="H203" s="32">
        <v>-4.7639999999999998E-4</v>
      </c>
      <c r="I203" s="32">
        <v>1.3171999999999999E-3</v>
      </c>
    </row>
    <row r="204" spans="1:9">
      <c r="A204" s="1" t="s">
        <v>76</v>
      </c>
      <c r="B204" s="1">
        <v>12</v>
      </c>
      <c r="E204" s="1" t="s">
        <v>79</v>
      </c>
      <c r="H204" s="1">
        <v>5.4600000000000003E-2</v>
      </c>
      <c r="I204" s="1">
        <v>5.4600000000000003E-2</v>
      </c>
    </row>
    <row r="205" spans="1:9">
      <c r="A205" s="1" t="s">
        <v>76</v>
      </c>
      <c r="B205" s="1">
        <v>12</v>
      </c>
      <c r="E205" s="1" t="s">
        <v>80</v>
      </c>
      <c r="H205" s="1">
        <v>5.7000000000000002E-2</v>
      </c>
      <c r="I205" s="1">
        <v>0.11700000000000001</v>
      </c>
    </row>
    <row r="206" spans="1:9">
      <c r="A206" s="1" t="s">
        <v>76</v>
      </c>
      <c r="B206" s="1">
        <v>12</v>
      </c>
      <c r="C206" s="1">
        <v>5.5E-2</v>
      </c>
      <c r="D206" s="1">
        <v>5</v>
      </c>
      <c r="E206" s="1" t="s">
        <v>0</v>
      </c>
      <c r="H206" s="32">
        <v>1.9910000000000001E-3</v>
      </c>
      <c r="I206" s="32">
        <v>2.8427999999999999E-3</v>
      </c>
    </row>
    <row r="207" spans="1:9">
      <c r="A207" s="1" t="s">
        <v>76</v>
      </c>
      <c r="B207" s="1">
        <v>12</v>
      </c>
      <c r="D207" s="1">
        <v>5</v>
      </c>
      <c r="E207" s="1" t="s">
        <v>1</v>
      </c>
      <c r="H207" s="32">
        <v>-4.333E-3</v>
      </c>
      <c r="I207" s="32">
        <v>-6.1869999999999998E-3</v>
      </c>
    </row>
    <row r="208" spans="1:9">
      <c r="A208" s="1" t="s">
        <v>76</v>
      </c>
      <c r="B208" s="1">
        <v>12</v>
      </c>
      <c r="D208" s="1">
        <v>5</v>
      </c>
      <c r="E208" s="1" t="s">
        <v>2</v>
      </c>
      <c r="H208" s="32">
        <v>3.6450000000000002E-4</v>
      </c>
      <c r="I208" s="32">
        <v>5.2044999999999999E-4</v>
      </c>
    </row>
    <row r="209" spans="1:9">
      <c r="A209" s="1" t="s">
        <v>76</v>
      </c>
      <c r="B209" s="1">
        <v>12</v>
      </c>
      <c r="D209" s="1">
        <v>4</v>
      </c>
      <c r="E209" s="1" t="s">
        <v>0</v>
      </c>
      <c r="H209" s="32">
        <v>-4.117E-3</v>
      </c>
      <c r="I209" s="32">
        <v>-5.8789999999999997E-3</v>
      </c>
    </row>
    <row r="210" spans="1:9">
      <c r="A210" s="1" t="s">
        <v>76</v>
      </c>
      <c r="B210" s="1">
        <v>12</v>
      </c>
      <c r="D210" s="1">
        <v>4</v>
      </c>
      <c r="E210" s="1" t="s">
        <v>1</v>
      </c>
      <c r="H210" s="32">
        <v>8.6583000000000007E-3</v>
      </c>
      <c r="I210" s="32">
        <v>1.2363000000000001E-2</v>
      </c>
    </row>
    <row r="211" spans="1:9">
      <c r="A211" s="1" t="s">
        <v>76</v>
      </c>
      <c r="B211" s="1">
        <v>12</v>
      </c>
      <c r="D211" s="1">
        <v>4</v>
      </c>
      <c r="E211" s="1" t="s">
        <v>2</v>
      </c>
      <c r="H211" s="32">
        <v>-7.3399999999999995E-4</v>
      </c>
      <c r="I211" s="32">
        <v>-1.0480000000000001E-3</v>
      </c>
    </row>
    <row r="212" spans="1:9">
      <c r="A212" s="1" t="s">
        <v>76</v>
      </c>
      <c r="B212" s="1">
        <v>12</v>
      </c>
      <c r="D212" s="1">
        <v>3</v>
      </c>
      <c r="E212" s="1" t="s">
        <v>0</v>
      </c>
      <c r="H212" s="32">
        <v>3.4285000000000001E-3</v>
      </c>
      <c r="I212" s="32">
        <v>4.8953E-3</v>
      </c>
    </row>
    <row r="213" spans="1:9">
      <c r="A213" s="1" t="s">
        <v>76</v>
      </c>
      <c r="B213" s="1">
        <v>12</v>
      </c>
      <c r="D213" s="1">
        <v>3</v>
      </c>
      <c r="E213" s="1" t="s">
        <v>1</v>
      </c>
      <c r="H213" s="32">
        <v>-4.8260000000000004E-3</v>
      </c>
      <c r="I213" s="32">
        <v>-6.8910000000000004E-3</v>
      </c>
    </row>
    <row r="214" spans="1:9">
      <c r="A214" s="1" t="s">
        <v>76</v>
      </c>
      <c r="B214" s="1">
        <v>12</v>
      </c>
      <c r="D214" s="1">
        <v>3</v>
      </c>
      <c r="E214" s="1" t="s">
        <v>2</v>
      </c>
      <c r="H214" s="32">
        <v>4.7820000000000002E-4</v>
      </c>
      <c r="I214" s="32">
        <v>6.8280000000000001E-4</v>
      </c>
    </row>
    <row r="215" spans="1:9">
      <c r="A215" s="1" t="s">
        <v>76</v>
      </c>
      <c r="B215" s="1">
        <v>12</v>
      </c>
      <c r="D215" s="1">
        <v>2</v>
      </c>
      <c r="E215" s="1" t="s">
        <v>0</v>
      </c>
      <c r="H215" s="32">
        <v>-6.1020000000000002E-5</v>
      </c>
      <c r="I215" s="32">
        <v>-8.7130000000000001E-5</v>
      </c>
    </row>
    <row r="216" spans="1:9">
      <c r="A216" s="1" t="s">
        <v>76</v>
      </c>
      <c r="B216" s="1">
        <v>12</v>
      </c>
      <c r="D216" s="1">
        <v>2</v>
      </c>
      <c r="E216" s="1" t="s">
        <v>1</v>
      </c>
      <c r="H216" s="32">
        <v>-4.7359999999999998E-3</v>
      </c>
      <c r="I216" s="32">
        <v>-6.7619999999999998E-3</v>
      </c>
    </row>
    <row r="217" spans="1:9">
      <c r="A217" s="1" t="s">
        <v>76</v>
      </c>
      <c r="B217" s="1">
        <v>12</v>
      </c>
      <c r="D217" s="1">
        <v>2</v>
      </c>
      <c r="E217" s="1" t="s">
        <v>2</v>
      </c>
      <c r="H217" s="32">
        <v>2.6773999999999998E-4</v>
      </c>
      <c r="I217" s="32">
        <v>3.8230000000000002E-4</v>
      </c>
    </row>
    <row r="218" spans="1:9">
      <c r="A218" s="1" t="s">
        <v>76</v>
      </c>
      <c r="B218" s="1">
        <v>12</v>
      </c>
      <c r="D218" s="1">
        <v>1</v>
      </c>
      <c r="E218" s="1" t="s">
        <v>0</v>
      </c>
      <c r="H218" s="32">
        <v>-3.0590000000000001E-3</v>
      </c>
      <c r="I218" s="32">
        <v>-4.3680000000000004E-3</v>
      </c>
    </row>
    <row r="219" spans="1:9">
      <c r="A219" s="1" t="s">
        <v>76</v>
      </c>
      <c r="B219" s="1">
        <v>12</v>
      </c>
      <c r="D219" s="1">
        <v>1</v>
      </c>
      <c r="E219" s="1" t="s">
        <v>1</v>
      </c>
      <c r="H219" s="32">
        <v>9.7283999999999999E-3</v>
      </c>
      <c r="I219" s="32">
        <v>1.3891000000000001E-2</v>
      </c>
    </row>
    <row r="220" spans="1:9">
      <c r="A220" s="1" t="s">
        <v>76</v>
      </c>
      <c r="B220" s="1">
        <v>12</v>
      </c>
      <c r="D220" s="1">
        <v>1</v>
      </c>
      <c r="E220" s="1" t="s">
        <v>2</v>
      </c>
      <c r="H220" s="32">
        <v>-7.4689999999999999E-4</v>
      </c>
      <c r="I220" s="32">
        <v>-1.0660000000000001E-3</v>
      </c>
    </row>
    <row r="221" spans="1:9">
      <c r="A221" s="1" t="s">
        <v>76</v>
      </c>
      <c r="B221" s="1">
        <v>13</v>
      </c>
      <c r="E221" s="1" t="s">
        <v>79</v>
      </c>
      <c r="H221" s="1">
        <v>5.0799999999999998E-2</v>
      </c>
      <c r="I221" s="1">
        <v>5.0799999999999998E-2</v>
      </c>
    </row>
    <row r="222" spans="1:9">
      <c r="A222" s="1" t="s">
        <v>76</v>
      </c>
      <c r="B222" s="1">
        <v>13</v>
      </c>
      <c r="E222" s="1" t="s">
        <v>80</v>
      </c>
      <c r="H222" s="1">
        <v>0.32200000000000001</v>
      </c>
      <c r="I222" s="1">
        <v>6.0000000000000001E-3</v>
      </c>
    </row>
    <row r="223" spans="1:9">
      <c r="A223" s="1" t="s">
        <v>76</v>
      </c>
      <c r="B223" s="1">
        <v>13</v>
      </c>
      <c r="C223" s="1">
        <v>5.0999999999999997E-2</v>
      </c>
      <c r="D223" s="1">
        <v>5</v>
      </c>
      <c r="E223" s="1" t="s">
        <v>0</v>
      </c>
      <c r="H223" s="32">
        <v>2.2994999999999999E-3</v>
      </c>
      <c r="I223" s="32">
        <v>3.0173E-4</v>
      </c>
    </row>
    <row r="224" spans="1:9">
      <c r="A224" s="1" t="s">
        <v>76</v>
      </c>
      <c r="B224" s="1">
        <v>13</v>
      </c>
      <c r="D224" s="1">
        <v>5</v>
      </c>
      <c r="E224" s="1" t="s">
        <v>1</v>
      </c>
      <c r="H224" s="32">
        <v>1.3144000000000001E-3</v>
      </c>
      <c r="I224" s="32">
        <v>1.7247000000000001E-4</v>
      </c>
    </row>
    <row r="225" spans="1:9">
      <c r="A225" s="1" t="s">
        <v>76</v>
      </c>
      <c r="B225" s="1">
        <v>13</v>
      </c>
      <c r="D225" s="1">
        <v>5</v>
      </c>
      <c r="E225" s="1" t="s">
        <v>2</v>
      </c>
      <c r="H225" s="32">
        <v>-6.9880000000000002E-5</v>
      </c>
      <c r="I225" s="32">
        <v>-9.1689999999999998E-6</v>
      </c>
    </row>
    <row r="226" spans="1:9">
      <c r="A226" s="1" t="s">
        <v>76</v>
      </c>
      <c r="B226" s="1">
        <v>13</v>
      </c>
      <c r="D226" s="1">
        <v>4</v>
      </c>
      <c r="E226" s="1" t="s">
        <v>0</v>
      </c>
      <c r="H226" s="32">
        <v>-7.2160000000000002E-3</v>
      </c>
      <c r="I226" s="32">
        <v>-9.4680000000000003E-4</v>
      </c>
    </row>
    <row r="227" spans="1:9">
      <c r="A227" s="1" t="s">
        <v>76</v>
      </c>
      <c r="B227" s="1">
        <v>13</v>
      </c>
      <c r="D227" s="1">
        <v>4</v>
      </c>
      <c r="E227" s="1" t="s">
        <v>1</v>
      </c>
      <c r="H227" s="32">
        <v>-2.911E-3</v>
      </c>
      <c r="I227" s="32">
        <v>-3.8200000000000002E-4</v>
      </c>
    </row>
    <row r="228" spans="1:9">
      <c r="A228" s="1" t="s">
        <v>76</v>
      </c>
      <c r="B228" s="1">
        <v>13</v>
      </c>
      <c r="D228" s="1">
        <v>4</v>
      </c>
      <c r="E228" s="1" t="s">
        <v>2</v>
      </c>
      <c r="H228" s="32">
        <v>1.2528999999999999E-4</v>
      </c>
      <c r="I228" s="32">
        <v>1.6439999999999998E-5</v>
      </c>
    </row>
    <row r="229" spans="1:9">
      <c r="A229" s="1" t="s">
        <v>76</v>
      </c>
      <c r="B229" s="1">
        <v>13</v>
      </c>
      <c r="D229" s="1">
        <v>3</v>
      </c>
      <c r="E229" s="1" t="s">
        <v>0</v>
      </c>
      <c r="H229" s="32">
        <v>1.2135E-2</v>
      </c>
      <c r="I229" s="32">
        <v>1.5923000000000001E-3</v>
      </c>
    </row>
    <row r="230" spans="1:9">
      <c r="A230" s="1" t="s">
        <v>76</v>
      </c>
      <c r="B230" s="1">
        <v>13</v>
      </c>
      <c r="D230" s="1">
        <v>3</v>
      </c>
      <c r="E230" s="1" t="s">
        <v>1</v>
      </c>
      <c r="H230" s="32">
        <v>1.5744999999999999E-3</v>
      </c>
      <c r="I230" s="32">
        <v>2.0659000000000001E-4</v>
      </c>
    </row>
    <row r="231" spans="1:9">
      <c r="A231" s="1" t="s">
        <v>76</v>
      </c>
      <c r="B231" s="1">
        <v>13</v>
      </c>
      <c r="D231" s="1">
        <v>3</v>
      </c>
      <c r="E231" s="1" t="s">
        <v>2</v>
      </c>
      <c r="H231" s="32">
        <v>4.6458999999999997E-5</v>
      </c>
      <c r="I231" s="32">
        <v>6.0961E-6</v>
      </c>
    </row>
    <row r="232" spans="1:9">
      <c r="A232" s="1" t="s">
        <v>76</v>
      </c>
      <c r="B232" s="1">
        <v>13</v>
      </c>
      <c r="D232" s="1">
        <v>2</v>
      </c>
      <c r="E232" s="1" t="s">
        <v>0</v>
      </c>
      <c r="H232" s="32">
        <v>-1.436E-2</v>
      </c>
      <c r="I232" s="32">
        <v>-1.885E-3</v>
      </c>
    </row>
    <row r="233" spans="1:9">
      <c r="A233" s="1" t="s">
        <v>76</v>
      </c>
      <c r="B233" s="1">
        <v>13</v>
      </c>
      <c r="D233" s="1">
        <v>2</v>
      </c>
      <c r="E233" s="1" t="s">
        <v>1</v>
      </c>
      <c r="H233" s="32">
        <v>2.4060000000000002E-3</v>
      </c>
      <c r="I233" s="32">
        <v>3.1571000000000002E-4</v>
      </c>
    </row>
    <row r="234" spans="1:9">
      <c r="A234" s="1" t="s">
        <v>76</v>
      </c>
      <c r="B234" s="1">
        <v>13</v>
      </c>
      <c r="D234" s="1">
        <v>2</v>
      </c>
      <c r="E234" s="1" t="s">
        <v>2</v>
      </c>
      <c r="H234" s="32">
        <v>-3.9500000000000001E-4</v>
      </c>
      <c r="I234" s="32">
        <v>-5.1829999999999997E-5</v>
      </c>
    </row>
    <row r="235" spans="1:9">
      <c r="A235" s="1" t="s">
        <v>76</v>
      </c>
      <c r="B235" s="1">
        <v>13</v>
      </c>
      <c r="D235" s="1">
        <v>1</v>
      </c>
      <c r="E235" s="1" t="s">
        <v>0</v>
      </c>
      <c r="H235" s="32">
        <v>1.4435E-2</v>
      </c>
      <c r="I235" s="32">
        <v>1.8940999999999999E-3</v>
      </c>
    </row>
    <row r="236" spans="1:9">
      <c r="A236" s="1" t="s">
        <v>76</v>
      </c>
      <c r="B236" s="1">
        <v>13</v>
      </c>
      <c r="D236" s="1">
        <v>1</v>
      </c>
      <c r="E236" s="1" t="s">
        <v>1</v>
      </c>
      <c r="H236" s="32">
        <v>-6.43E-3</v>
      </c>
      <c r="I236" s="32">
        <v>-8.4369999999999996E-4</v>
      </c>
    </row>
    <row r="237" spans="1:9">
      <c r="A237" s="1" t="s">
        <v>76</v>
      </c>
      <c r="B237" s="1">
        <v>13</v>
      </c>
      <c r="D237" s="1">
        <v>1</v>
      </c>
      <c r="E237" s="1" t="s">
        <v>2</v>
      </c>
      <c r="H237" s="32">
        <v>7.7957999999999999E-4</v>
      </c>
      <c r="I237" s="32">
        <v>1.0229E-4</v>
      </c>
    </row>
    <row r="238" spans="1:9">
      <c r="A238" s="1" t="s">
        <v>76</v>
      </c>
      <c r="B238" s="1">
        <v>14</v>
      </c>
      <c r="E238" s="1" t="s">
        <v>79</v>
      </c>
      <c r="H238" s="1">
        <v>4.9500000000000002E-2</v>
      </c>
      <c r="I238" s="1">
        <v>4.9500000000000002E-2</v>
      </c>
    </row>
    <row r="239" spans="1:9">
      <c r="A239" s="1" t="s">
        <v>76</v>
      </c>
      <c r="B239" s="1">
        <v>14</v>
      </c>
      <c r="E239" s="1" t="s">
        <v>80</v>
      </c>
      <c r="H239" s="1">
        <v>1.9E-2</v>
      </c>
      <c r="I239" s="1">
        <v>0.33800000000000002</v>
      </c>
    </row>
    <row r="240" spans="1:9">
      <c r="A240" s="1" t="s">
        <v>76</v>
      </c>
      <c r="B240" s="1">
        <v>14</v>
      </c>
      <c r="C240" s="1">
        <v>0.05</v>
      </c>
      <c r="D240" s="1">
        <v>5</v>
      </c>
      <c r="E240" s="1" t="s">
        <v>0</v>
      </c>
      <c r="H240" s="32">
        <v>1.6553999999999999E-4</v>
      </c>
      <c r="I240" s="32">
        <v>-6.9200000000000002E-4</v>
      </c>
    </row>
    <row r="241" spans="1:9">
      <c r="A241" s="1" t="s">
        <v>76</v>
      </c>
      <c r="B241" s="1">
        <v>14</v>
      </c>
      <c r="D241" s="1">
        <v>5</v>
      </c>
      <c r="E241" s="1" t="s">
        <v>1</v>
      </c>
      <c r="H241" s="32">
        <v>-6.9559999999999999E-4</v>
      </c>
      <c r="I241" s="32">
        <v>2.908E-3</v>
      </c>
    </row>
    <row r="242" spans="1:9">
      <c r="A242" s="1" t="s">
        <v>76</v>
      </c>
      <c r="B242" s="1">
        <v>14</v>
      </c>
      <c r="D242" s="1">
        <v>5</v>
      </c>
      <c r="E242" s="1" t="s">
        <v>2</v>
      </c>
      <c r="H242" s="32">
        <v>5.7207000000000001E-6</v>
      </c>
      <c r="I242" s="32">
        <v>-2.3920000000000001E-5</v>
      </c>
    </row>
    <row r="243" spans="1:9">
      <c r="A243" s="1" t="s">
        <v>76</v>
      </c>
      <c r="B243" s="1">
        <v>14</v>
      </c>
      <c r="D243" s="1">
        <v>4</v>
      </c>
      <c r="E243" s="1" t="s">
        <v>0</v>
      </c>
      <c r="H243" s="32">
        <v>-4.4240000000000002E-4</v>
      </c>
      <c r="I243" s="32">
        <v>1.8495E-3</v>
      </c>
    </row>
    <row r="244" spans="1:9">
      <c r="A244" s="1" t="s">
        <v>76</v>
      </c>
      <c r="B244" s="1">
        <v>14</v>
      </c>
      <c r="D244" s="1">
        <v>4</v>
      </c>
      <c r="E244" s="1" t="s">
        <v>1</v>
      </c>
      <c r="H244" s="32">
        <v>1.9471E-3</v>
      </c>
      <c r="I244" s="32">
        <v>-8.1399999999999997E-3</v>
      </c>
    </row>
    <row r="245" spans="1:9">
      <c r="A245" s="1" t="s">
        <v>76</v>
      </c>
      <c r="B245" s="1">
        <v>14</v>
      </c>
      <c r="D245" s="1">
        <v>4</v>
      </c>
      <c r="E245" s="1" t="s">
        <v>2</v>
      </c>
      <c r="H245" s="32">
        <v>-7.0709999999999997E-6</v>
      </c>
      <c r="I245" s="32">
        <v>2.9560000000000002E-5</v>
      </c>
    </row>
    <row r="246" spans="1:9">
      <c r="A246" s="1" t="s">
        <v>76</v>
      </c>
      <c r="B246" s="1">
        <v>14</v>
      </c>
      <c r="D246" s="1">
        <v>3</v>
      </c>
      <c r="E246" s="1" t="s">
        <v>0</v>
      </c>
      <c r="H246" s="32">
        <v>5.1223000000000002E-4</v>
      </c>
      <c r="I246" s="32">
        <v>-2.1410000000000001E-3</v>
      </c>
    </row>
    <row r="247" spans="1:9">
      <c r="A247" s="1" t="s">
        <v>76</v>
      </c>
      <c r="B247" s="1">
        <v>14</v>
      </c>
      <c r="D247" s="1">
        <v>3</v>
      </c>
      <c r="E247" s="1" t="s">
        <v>1</v>
      </c>
      <c r="H247" s="32">
        <v>-2.588E-3</v>
      </c>
      <c r="I247" s="32">
        <v>1.0817E-2</v>
      </c>
    </row>
    <row r="248" spans="1:9">
      <c r="A248" s="1" t="s">
        <v>76</v>
      </c>
      <c r="B248" s="1">
        <v>14</v>
      </c>
      <c r="D248" s="1">
        <v>3</v>
      </c>
      <c r="E248" s="1" t="s">
        <v>2</v>
      </c>
      <c r="H248" s="32">
        <v>-2.181E-5</v>
      </c>
      <c r="I248" s="32">
        <v>9.1195999999999999E-5</v>
      </c>
    </row>
    <row r="249" spans="1:9">
      <c r="A249" s="1" t="s">
        <v>76</v>
      </c>
      <c r="B249" s="1">
        <v>14</v>
      </c>
      <c r="D249" s="1">
        <v>2</v>
      </c>
      <c r="E249" s="1" t="s">
        <v>0</v>
      </c>
      <c r="H249" s="32">
        <v>-2.8190000000000002E-4</v>
      </c>
      <c r="I249" s="32">
        <v>1.1785000000000001E-3</v>
      </c>
    </row>
    <row r="250" spans="1:9">
      <c r="A250" s="1" t="s">
        <v>76</v>
      </c>
      <c r="B250" s="1">
        <v>14</v>
      </c>
      <c r="D250" s="1">
        <v>2</v>
      </c>
      <c r="E250" s="1" t="s">
        <v>1</v>
      </c>
      <c r="H250" s="32">
        <v>2.1461000000000002E-3</v>
      </c>
      <c r="I250" s="32">
        <v>-8.9720000000000008E-3</v>
      </c>
    </row>
    <row r="251" spans="1:9">
      <c r="A251" s="1" t="s">
        <v>76</v>
      </c>
      <c r="B251" s="1">
        <v>14</v>
      </c>
      <c r="D251" s="1">
        <v>2</v>
      </c>
      <c r="E251" s="1" t="s">
        <v>2</v>
      </c>
      <c r="H251" s="32">
        <v>6.9369000000000006E-5</v>
      </c>
      <c r="I251" s="32">
        <v>-2.9E-4</v>
      </c>
    </row>
    <row r="252" spans="1:9">
      <c r="A252" s="1" t="s">
        <v>76</v>
      </c>
      <c r="B252" s="1">
        <v>14</v>
      </c>
      <c r="D252" s="1">
        <v>1</v>
      </c>
      <c r="E252" s="1" t="s">
        <v>0</v>
      </c>
      <c r="H252" s="32">
        <v>-2.6689999999999998E-4</v>
      </c>
      <c r="I252" s="32">
        <v>1.1159E-3</v>
      </c>
    </row>
    <row r="253" spans="1:9">
      <c r="A253" s="1" t="s">
        <v>76</v>
      </c>
      <c r="B253" s="1">
        <v>14</v>
      </c>
      <c r="D253" s="1">
        <v>1</v>
      </c>
      <c r="E253" s="1" t="s">
        <v>1</v>
      </c>
      <c r="H253" s="32">
        <v>-1.0089999999999999E-3</v>
      </c>
      <c r="I253" s="32">
        <v>4.2167000000000003E-3</v>
      </c>
    </row>
    <row r="254" spans="1:9">
      <c r="A254" s="1" t="s">
        <v>76</v>
      </c>
      <c r="B254" s="1">
        <v>14</v>
      </c>
      <c r="D254" s="1">
        <v>1</v>
      </c>
      <c r="E254" s="1" t="s">
        <v>2</v>
      </c>
      <c r="H254" s="32">
        <v>-1.2679999999999999E-4</v>
      </c>
      <c r="I254" s="32">
        <v>5.2992000000000002E-4</v>
      </c>
    </row>
    <row r="255" spans="1:9">
      <c r="A255" s="1" t="s">
        <v>76</v>
      </c>
      <c r="B255" s="1">
        <v>15</v>
      </c>
      <c r="E255" s="1" t="s">
        <v>79</v>
      </c>
      <c r="H255" s="1">
        <v>4.2099999999999999E-2</v>
      </c>
      <c r="I255" s="1">
        <v>4.2099999999999999E-2</v>
      </c>
    </row>
    <row r="256" spans="1:9">
      <c r="A256" s="1" t="s">
        <v>76</v>
      </c>
      <c r="B256" s="1">
        <v>15</v>
      </c>
      <c r="E256" s="1" t="s">
        <v>80</v>
      </c>
      <c r="H256" s="1">
        <v>8.0000000000000002E-3</v>
      </c>
      <c r="I256" s="1">
        <v>7.0000000000000001E-3</v>
      </c>
    </row>
    <row r="257" spans="1:9">
      <c r="A257" s="1" t="s">
        <v>76</v>
      </c>
      <c r="B257" s="1">
        <v>15</v>
      </c>
      <c r="C257" s="1">
        <v>4.2000000000000003E-2</v>
      </c>
      <c r="D257" s="1">
        <v>5</v>
      </c>
      <c r="E257" s="1" t="s">
        <v>0</v>
      </c>
      <c r="H257" s="32">
        <v>-1.4990000000000001E-4</v>
      </c>
      <c r="I257" s="32">
        <v>-1.3990000000000001E-4</v>
      </c>
    </row>
    <row r="258" spans="1:9">
      <c r="A258" s="1" t="s">
        <v>76</v>
      </c>
      <c r="B258" s="1">
        <v>15</v>
      </c>
      <c r="D258" s="1">
        <v>5</v>
      </c>
      <c r="E258" s="1" t="s">
        <v>1</v>
      </c>
      <c r="H258" s="32">
        <v>4.3885000000000001E-4</v>
      </c>
      <c r="I258" s="32">
        <v>4.0948999999999998E-4</v>
      </c>
    </row>
    <row r="259" spans="1:9">
      <c r="A259" s="1" t="s">
        <v>76</v>
      </c>
      <c r="B259" s="1">
        <v>15</v>
      </c>
      <c r="D259" s="1">
        <v>5</v>
      </c>
      <c r="E259" s="1" t="s">
        <v>2</v>
      </c>
      <c r="H259" s="32">
        <v>-3.6000000000000001E-5</v>
      </c>
      <c r="I259" s="32">
        <v>-3.3590000000000002E-5</v>
      </c>
    </row>
    <row r="260" spans="1:9">
      <c r="A260" s="1" t="s">
        <v>76</v>
      </c>
      <c r="B260" s="1">
        <v>15</v>
      </c>
      <c r="D260" s="1">
        <v>4</v>
      </c>
      <c r="E260" s="1" t="s">
        <v>0</v>
      </c>
      <c r="H260" s="32">
        <v>3.9501E-4</v>
      </c>
      <c r="I260" s="32">
        <v>3.6858000000000003E-4</v>
      </c>
    </row>
    <row r="261" spans="1:9">
      <c r="A261" s="1" t="s">
        <v>76</v>
      </c>
      <c r="B261" s="1">
        <v>15</v>
      </c>
      <c r="D261" s="1">
        <v>4</v>
      </c>
      <c r="E261" s="1" t="s">
        <v>1</v>
      </c>
      <c r="H261" s="32">
        <v>-1.255E-3</v>
      </c>
      <c r="I261" s="32">
        <v>-1.1709999999999999E-3</v>
      </c>
    </row>
    <row r="262" spans="1:9">
      <c r="A262" s="1" t="s">
        <v>76</v>
      </c>
      <c r="B262" s="1">
        <v>15</v>
      </c>
      <c r="D262" s="1">
        <v>4</v>
      </c>
      <c r="E262" s="1" t="s">
        <v>2</v>
      </c>
      <c r="H262" s="32">
        <v>1.0077E-4</v>
      </c>
      <c r="I262" s="32">
        <v>9.4026999999999999E-5</v>
      </c>
    </row>
    <row r="263" spans="1:9">
      <c r="A263" s="1" t="s">
        <v>76</v>
      </c>
      <c r="B263" s="1">
        <v>15</v>
      </c>
      <c r="D263" s="1">
        <v>3</v>
      </c>
      <c r="E263" s="1" t="s">
        <v>0</v>
      </c>
      <c r="H263" s="32">
        <v>-6.2660000000000005E-4</v>
      </c>
      <c r="I263" s="32">
        <v>-5.8469999999999996E-4</v>
      </c>
    </row>
    <row r="264" spans="1:9">
      <c r="A264" s="1" t="s">
        <v>76</v>
      </c>
      <c r="B264" s="1">
        <v>15</v>
      </c>
      <c r="D264" s="1">
        <v>3</v>
      </c>
      <c r="E264" s="1" t="s">
        <v>1</v>
      </c>
      <c r="H264" s="32">
        <v>1.939E-3</v>
      </c>
      <c r="I264" s="32">
        <v>1.8093E-3</v>
      </c>
    </row>
    <row r="265" spans="1:9">
      <c r="A265" s="1" t="s">
        <v>76</v>
      </c>
      <c r="B265" s="1">
        <v>15</v>
      </c>
      <c r="D265" s="1">
        <v>3</v>
      </c>
      <c r="E265" s="1" t="s">
        <v>2</v>
      </c>
      <c r="H265" s="32">
        <v>-1.572E-4</v>
      </c>
      <c r="I265" s="32">
        <v>-1.4669999999999999E-4</v>
      </c>
    </row>
    <row r="266" spans="1:9">
      <c r="A266" s="1" t="s">
        <v>76</v>
      </c>
      <c r="B266" s="1">
        <v>15</v>
      </c>
      <c r="D266" s="1">
        <v>2</v>
      </c>
      <c r="E266" s="1" t="s">
        <v>0</v>
      </c>
      <c r="H266" s="32">
        <v>7.0828999999999998E-4</v>
      </c>
      <c r="I266" s="32">
        <v>6.6091000000000001E-4</v>
      </c>
    </row>
    <row r="267" spans="1:9">
      <c r="A267" s="1" t="s">
        <v>76</v>
      </c>
      <c r="B267" s="1">
        <v>15</v>
      </c>
      <c r="D267" s="1">
        <v>2</v>
      </c>
      <c r="E267" s="1" t="s">
        <v>1</v>
      </c>
      <c r="H267" s="32">
        <v>-2.0609999999999999E-3</v>
      </c>
      <c r="I267" s="32">
        <v>-1.923E-3</v>
      </c>
    </row>
    <row r="268" spans="1:9">
      <c r="A268" s="1" t="s">
        <v>76</v>
      </c>
      <c r="B268" s="1">
        <v>15</v>
      </c>
      <c r="D268" s="1">
        <v>2</v>
      </c>
      <c r="E268" s="1" t="s">
        <v>2</v>
      </c>
      <c r="H268" s="32">
        <v>1.6982999999999999E-4</v>
      </c>
      <c r="I268" s="32">
        <v>1.5846999999999999E-4</v>
      </c>
    </row>
    <row r="269" spans="1:9">
      <c r="A269" s="1" t="s">
        <v>76</v>
      </c>
      <c r="B269" s="1">
        <v>15</v>
      </c>
      <c r="D269" s="1">
        <v>1</v>
      </c>
      <c r="E269" s="1" t="s">
        <v>0</v>
      </c>
      <c r="H269" s="32">
        <v>-8.2720000000000005E-4</v>
      </c>
      <c r="I269" s="32">
        <v>-7.718E-4</v>
      </c>
    </row>
    <row r="270" spans="1:9">
      <c r="A270" s="1" t="s">
        <v>76</v>
      </c>
      <c r="B270" s="1">
        <v>15</v>
      </c>
      <c r="D270" s="1">
        <v>1</v>
      </c>
      <c r="E270" s="1" t="s">
        <v>1</v>
      </c>
      <c r="H270" s="32">
        <v>1.7547000000000001E-3</v>
      </c>
      <c r="I270" s="32">
        <v>1.6373E-3</v>
      </c>
    </row>
    <row r="271" spans="1:9">
      <c r="A271" s="1" t="s">
        <v>76</v>
      </c>
      <c r="B271" s="1">
        <v>15</v>
      </c>
      <c r="D271" s="1">
        <v>1</v>
      </c>
      <c r="E271" s="1" t="s">
        <v>2</v>
      </c>
      <c r="H271" s="32">
        <v>-1.5899999999999999E-4</v>
      </c>
      <c r="I271" s="32">
        <v>-1.484E-4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1"/>
  <sheetViews>
    <sheetView workbookViewId="0">
      <selection sqref="A1:XFD1048576"/>
    </sheetView>
  </sheetViews>
  <sheetFormatPr defaultColWidth="9" defaultRowHeight="15"/>
  <cols>
    <col min="1" max="16384" width="9" style="55"/>
  </cols>
  <sheetData>
    <row r="1" spans="1:11">
      <c r="A1" s="55" t="s">
        <v>71</v>
      </c>
      <c r="D1" s="55" t="s">
        <v>85</v>
      </c>
      <c r="F1" s="55" t="s">
        <v>72</v>
      </c>
      <c r="G1" s="55" t="s">
        <v>73</v>
      </c>
      <c r="H1" s="55" t="s">
        <v>74</v>
      </c>
      <c r="I1" s="55" t="s">
        <v>75</v>
      </c>
      <c r="J1" s="55" t="s">
        <v>83</v>
      </c>
      <c r="K1" s="55" t="s">
        <v>84</v>
      </c>
    </row>
    <row r="2" spans="1:11">
      <c r="A2" s="55">
        <v>1</v>
      </c>
      <c r="D2" s="55">
        <v>5</v>
      </c>
      <c r="F2" s="56">
        <v>0.3</v>
      </c>
      <c r="G2" s="56">
        <v>0.184</v>
      </c>
      <c r="H2" s="56">
        <v>12.951000000000001</v>
      </c>
      <c r="I2" s="56">
        <v>4.7229999999999999</v>
      </c>
      <c r="J2" s="56">
        <v>0.77200000000000002</v>
      </c>
      <c r="K2" s="56">
        <v>1.1359999999999999</v>
      </c>
    </row>
    <row r="3" spans="1:11">
      <c r="A3" s="55">
        <v>1</v>
      </c>
      <c r="D3" s="55">
        <v>4</v>
      </c>
      <c r="F3" s="56">
        <v>0.223</v>
      </c>
      <c r="G3" s="56">
        <v>0.13700000000000001</v>
      </c>
      <c r="H3" s="56">
        <v>11.58</v>
      </c>
      <c r="I3" s="56">
        <v>4.1970000000000001</v>
      </c>
      <c r="J3" s="56">
        <v>0.68200000000000005</v>
      </c>
      <c r="K3" s="56">
        <v>1.004</v>
      </c>
    </row>
    <row r="4" spans="1:11">
      <c r="A4" s="55">
        <v>1</v>
      </c>
      <c r="D4" s="55">
        <v>3</v>
      </c>
      <c r="F4" s="56">
        <v>0.154</v>
      </c>
      <c r="G4" s="56">
        <v>9.4E-2</v>
      </c>
      <c r="H4" s="56">
        <v>9.4079999999999995</v>
      </c>
      <c r="I4" s="56">
        <v>3.3809999999999998</v>
      </c>
      <c r="J4" s="56">
        <v>0.54700000000000004</v>
      </c>
      <c r="K4" s="56">
        <v>0.80500000000000005</v>
      </c>
    </row>
    <row r="5" spans="1:11">
      <c r="A5" s="55">
        <v>1</v>
      </c>
      <c r="D5" s="55">
        <v>2</v>
      </c>
      <c r="F5" s="56">
        <v>8.5999999999999993E-2</v>
      </c>
      <c r="G5" s="56">
        <v>5.2999999999999999E-2</v>
      </c>
      <c r="H5" s="56">
        <v>6.4770000000000003</v>
      </c>
      <c r="I5" s="56">
        <v>2.2869999999999999</v>
      </c>
      <c r="J5" s="56">
        <v>0.371</v>
      </c>
      <c r="K5" s="56">
        <v>0.54600000000000004</v>
      </c>
    </row>
    <row r="6" spans="1:11">
      <c r="A6" s="55">
        <v>1</v>
      </c>
      <c r="D6" s="55">
        <v>1</v>
      </c>
      <c r="F6" s="56">
        <v>2.8000000000000001E-2</v>
      </c>
      <c r="G6" s="56">
        <v>1.7000000000000001E-2</v>
      </c>
      <c r="H6" s="56">
        <v>3.0720000000000001</v>
      </c>
      <c r="I6" s="56">
        <v>1.042</v>
      </c>
      <c r="J6" s="56">
        <v>0.17199999999999999</v>
      </c>
      <c r="K6" s="56">
        <v>0.254</v>
      </c>
    </row>
    <row r="7" spans="1:11">
      <c r="A7" s="55">
        <v>2</v>
      </c>
      <c r="D7" s="55">
        <v>5</v>
      </c>
      <c r="F7" s="56">
        <v>0.25700000000000001</v>
      </c>
      <c r="G7" s="56">
        <v>0.156</v>
      </c>
      <c r="H7" s="56">
        <v>12.78</v>
      </c>
      <c r="I7" s="56">
        <v>1.52</v>
      </c>
      <c r="J7" s="56">
        <v>0.18</v>
      </c>
      <c r="K7" s="56">
        <v>0.26500000000000001</v>
      </c>
    </row>
    <row r="8" spans="1:11">
      <c r="A8" s="55">
        <v>2</v>
      </c>
      <c r="D8" s="55">
        <v>4</v>
      </c>
      <c r="F8" s="56">
        <v>0.191</v>
      </c>
      <c r="G8" s="56">
        <v>0.11600000000000001</v>
      </c>
      <c r="H8" s="56">
        <v>11.403</v>
      </c>
      <c r="I8" s="56">
        <v>1.3680000000000001</v>
      </c>
      <c r="J8" s="56">
        <v>0.16200000000000001</v>
      </c>
      <c r="K8" s="56">
        <v>0.23799999999999999</v>
      </c>
    </row>
    <row r="9" spans="1:11">
      <c r="A9" s="55">
        <v>2</v>
      </c>
      <c r="D9" s="55">
        <v>3</v>
      </c>
      <c r="F9" s="56">
        <v>0.13200000000000001</v>
      </c>
      <c r="G9" s="56">
        <v>0.08</v>
      </c>
      <c r="H9" s="56">
        <v>9.2439999999999998</v>
      </c>
      <c r="I9" s="56">
        <v>1.117</v>
      </c>
      <c r="J9" s="56">
        <v>0.13300000000000001</v>
      </c>
      <c r="K9" s="56">
        <v>0.19500000000000001</v>
      </c>
    </row>
    <row r="10" spans="1:11">
      <c r="A10" s="55">
        <v>2</v>
      </c>
      <c r="D10" s="55">
        <v>2</v>
      </c>
      <c r="F10" s="56">
        <v>7.3999999999999996E-2</v>
      </c>
      <c r="G10" s="56">
        <v>4.5999999999999999E-2</v>
      </c>
      <c r="H10" s="56">
        <v>6.3449999999999998</v>
      </c>
      <c r="I10" s="56">
        <v>0.77200000000000002</v>
      </c>
      <c r="J10" s="56">
        <v>9.2999999999999999E-2</v>
      </c>
      <c r="K10" s="56">
        <v>0.13600000000000001</v>
      </c>
    </row>
    <row r="11" spans="1:11">
      <c r="A11" s="55">
        <v>2</v>
      </c>
      <c r="D11" s="55">
        <v>1</v>
      </c>
      <c r="F11" s="56">
        <v>2.5000000000000001E-2</v>
      </c>
      <c r="G11" s="56">
        <v>1.4999999999999999E-2</v>
      </c>
      <c r="H11" s="56">
        <v>2.9940000000000002</v>
      </c>
      <c r="I11" s="56">
        <v>0.36599999999999999</v>
      </c>
      <c r="J11" s="56">
        <v>4.5999999999999999E-2</v>
      </c>
      <c r="K11" s="56">
        <v>6.7000000000000004E-2</v>
      </c>
    </row>
    <row r="12" spans="1:11">
      <c r="A12" s="55">
        <v>3</v>
      </c>
      <c r="D12" s="55">
        <v>5</v>
      </c>
      <c r="F12" s="56">
        <v>0.216</v>
      </c>
      <c r="G12" s="56">
        <v>0.128</v>
      </c>
      <c r="H12" s="56">
        <v>12.629</v>
      </c>
      <c r="I12" s="56">
        <v>-2.7050000000000001</v>
      </c>
      <c r="J12" s="56">
        <v>-0.38500000000000001</v>
      </c>
      <c r="K12" s="56">
        <v>-0.56699999999999995</v>
      </c>
    </row>
    <row r="13" spans="1:11">
      <c r="A13" s="55">
        <v>3</v>
      </c>
      <c r="D13" s="55">
        <v>4</v>
      </c>
      <c r="F13" s="56">
        <v>0.16</v>
      </c>
      <c r="G13" s="56">
        <v>9.6000000000000002E-2</v>
      </c>
      <c r="H13" s="56">
        <v>11.244999999999999</v>
      </c>
      <c r="I13" s="56">
        <v>-2.3650000000000002</v>
      </c>
      <c r="J13" s="56">
        <v>-0.33500000000000002</v>
      </c>
      <c r="K13" s="56">
        <v>-0.49199999999999999</v>
      </c>
    </row>
    <row r="14" spans="1:11">
      <c r="A14" s="55">
        <v>3</v>
      </c>
      <c r="D14" s="55">
        <v>3</v>
      </c>
      <c r="F14" s="56">
        <v>0.11</v>
      </c>
      <c r="G14" s="56">
        <v>6.6000000000000003E-2</v>
      </c>
      <c r="H14" s="56">
        <v>9.0960000000000001</v>
      </c>
      <c r="I14" s="56">
        <v>-1.873</v>
      </c>
      <c r="J14" s="56">
        <v>-0.26300000000000001</v>
      </c>
      <c r="K14" s="56">
        <v>-0.38700000000000001</v>
      </c>
    </row>
    <row r="15" spans="1:11">
      <c r="A15" s="55">
        <v>3</v>
      </c>
      <c r="D15" s="55">
        <v>2</v>
      </c>
      <c r="F15" s="56">
        <v>6.3E-2</v>
      </c>
      <c r="G15" s="56">
        <v>3.7999999999999999E-2</v>
      </c>
      <c r="H15" s="56">
        <v>6.2249999999999996</v>
      </c>
      <c r="I15" s="56">
        <v>-1.2410000000000001</v>
      </c>
      <c r="J15" s="56">
        <v>-0.17299999999999999</v>
      </c>
      <c r="K15" s="56">
        <v>-0.255</v>
      </c>
    </row>
    <row r="16" spans="1:11">
      <c r="A16" s="55">
        <v>3</v>
      </c>
      <c r="D16" s="55">
        <v>1</v>
      </c>
      <c r="F16" s="56">
        <v>2.1999999999999999E-2</v>
      </c>
      <c r="G16" s="56">
        <v>1.2999999999999999E-2</v>
      </c>
      <c r="H16" s="56">
        <v>2.9220000000000002</v>
      </c>
      <c r="I16" s="56">
        <v>-0.54700000000000004</v>
      </c>
      <c r="J16" s="56">
        <v>-7.5999999999999998E-2</v>
      </c>
      <c r="K16" s="56">
        <v>-0.111</v>
      </c>
    </row>
    <row r="17" spans="1:11">
      <c r="A17" s="55">
        <v>4</v>
      </c>
      <c r="D17" s="55">
        <v>5</v>
      </c>
      <c r="F17" s="56">
        <v>0.182</v>
      </c>
      <c r="G17" s="56">
        <v>0.106</v>
      </c>
      <c r="H17" s="56">
        <v>12.513999999999999</v>
      </c>
      <c r="I17" s="56">
        <v>-5.4290000000000003</v>
      </c>
      <c r="J17" s="56">
        <v>-0.85599999999999998</v>
      </c>
      <c r="K17" s="56">
        <v>-1.2589999999999999</v>
      </c>
    </row>
    <row r="18" spans="1:11">
      <c r="A18" s="55">
        <v>4</v>
      </c>
      <c r="D18" s="55">
        <v>4</v>
      </c>
      <c r="F18" s="56">
        <v>0.13500000000000001</v>
      </c>
      <c r="G18" s="56">
        <v>7.9000000000000001E-2</v>
      </c>
      <c r="H18" s="56">
        <v>11.121</v>
      </c>
      <c r="I18" s="56">
        <v>-4.7629999999999999</v>
      </c>
      <c r="J18" s="56">
        <v>-0.748</v>
      </c>
      <c r="K18" s="56">
        <v>-1.101</v>
      </c>
    </row>
    <row r="19" spans="1:11">
      <c r="A19" s="55">
        <v>4</v>
      </c>
      <c r="D19" s="55">
        <v>3</v>
      </c>
      <c r="F19" s="56">
        <v>9.2999999999999999E-2</v>
      </c>
      <c r="G19" s="56">
        <v>5.5E-2</v>
      </c>
      <c r="H19" s="56">
        <v>8.9789999999999992</v>
      </c>
      <c r="I19" s="56">
        <v>-3.786</v>
      </c>
      <c r="J19" s="56">
        <v>-0.59299999999999997</v>
      </c>
      <c r="K19" s="56">
        <v>-0.872</v>
      </c>
    </row>
    <row r="20" spans="1:11">
      <c r="A20" s="55">
        <v>4</v>
      </c>
      <c r="D20" s="55">
        <v>2</v>
      </c>
      <c r="F20" s="56">
        <v>5.3999999999999999E-2</v>
      </c>
      <c r="G20" s="56">
        <v>3.2000000000000001E-2</v>
      </c>
      <c r="H20" s="56">
        <v>6.13</v>
      </c>
      <c r="I20" s="56">
        <v>-2.5169999999999999</v>
      </c>
      <c r="J20" s="56">
        <v>-0.39500000000000002</v>
      </c>
      <c r="K20" s="56">
        <v>-0.58099999999999996</v>
      </c>
    </row>
    <row r="21" spans="1:11">
      <c r="A21" s="55">
        <v>4</v>
      </c>
      <c r="D21" s="55">
        <v>1</v>
      </c>
      <c r="F21" s="56">
        <v>1.9E-2</v>
      </c>
      <c r="G21" s="56">
        <v>1.0999999999999999E-2</v>
      </c>
      <c r="H21" s="56">
        <v>2.8650000000000002</v>
      </c>
      <c r="I21" s="56">
        <v>-1.113</v>
      </c>
      <c r="J21" s="56">
        <v>-0.17599999999999999</v>
      </c>
      <c r="K21" s="56">
        <v>-0.26</v>
      </c>
    </row>
    <row r="22" spans="1:11">
      <c r="A22" s="55">
        <v>5</v>
      </c>
      <c r="D22" s="55">
        <v>5</v>
      </c>
      <c r="F22" s="56">
        <v>0.14699999999999999</v>
      </c>
      <c r="G22" s="56">
        <v>8.2000000000000003E-2</v>
      </c>
      <c r="H22" s="56">
        <v>12.404</v>
      </c>
      <c r="I22" s="56">
        <v>-8.3249999999999993</v>
      </c>
      <c r="J22" s="56">
        <v>-1.34</v>
      </c>
      <c r="K22" s="56">
        <v>-1.972</v>
      </c>
    </row>
    <row r="23" spans="1:11">
      <c r="A23" s="55">
        <v>5</v>
      </c>
      <c r="D23" s="55">
        <v>4</v>
      </c>
      <c r="F23" s="56">
        <v>0.108</v>
      </c>
      <c r="G23" s="56">
        <v>6.0999999999999999E-2</v>
      </c>
      <c r="H23" s="56">
        <v>11.003</v>
      </c>
      <c r="I23" s="56">
        <v>-7.3170000000000002</v>
      </c>
      <c r="J23" s="56">
        <v>-1.1739999999999999</v>
      </c>
      <c r="K23" s="56">
        <v>-1.7270000000000001</v>
      </c>
    </row>
    <row r="24" spans="1:11">
      <c r="A24" s="55">
        <v>5</v>
      </c>
      <c r="D24" s="55">
        <v>3</v>
      </c>
      <c r="F24" s="56">
        <v>7.4999999999999997E-2</v>
      </c>
      <c r="G24" s="56">
        <v>4.2999999999999997E-2</v>
      </c>
      <c r="H24" s="56">
        <v>8.8650000000000002</v>
      </c>
      <c r="I24" s="56">
        <v>-5.8259999999999996</v>
      </c>
      <c r="J24" s="56">
        <v>-0.93200000000000005</v>
      </c>
      <c r="K24" s="56">
        <v>-1.371</v>
      </c>
    </row>
    <row r="25" spans="1:11">
      <c r="A25" s="55">
        <v>5</v>
      </c>
      <c r="D25" s="55">
        <v>2</v>
      </c>
      <c r="F25" s="56">
        <v>4.4999999999999998E-2</v>
      </c>
      <c r="G25" s="56">
        <v>2.5999999999999999E-2</v>
      </c>
      <c r="H25" s="56">
        <v>6.0359999999999996</v>
      </c>
      <c r="I25" s="56">
        <v>-3.8809999999999998</v>
      </c>
      <c r="J25" s="56">
        <v>-0.622</v>
      </c>
      <c r="K25" s="56">
        <v>-0.91600000000000004</v>
      </c>
    </row>
    <row r="26" spans="1:11">
      <c r="A26" s="55">
        <v>5</v>
      </c>
      <c r="D26" s="55">
        <v>1</v>
      </c>
      <c r="F26" s="56">
        <v>1.6E-2</v>
      </c>
      <c r="G26" s="56">
        <v>0.01</v>
      </c>
      <c r="H26" s="56">
        <v>2.8069999999999999</v>
      </c>
      <c r="I26" s="56">
        <v>-1.7230000000000001</v>
      </c>
      <c r="J26" s="56">
        <v>-0.28000000000000003</v>
      </c>
      <c r="K26" s="56">
        <v>-0.41199999999999998</v>
      </c>
    </row>
    <row r="27" spans="1:11">
      <c r="A27" s="55">
        <v>6</v>
      </c>
      <c r="D27" s="55">
        <v>5</v>
      </c>
      <c r="F27" s="56">
        <v>-0.22600000000000001</v>
      </c>
      <c r="G27" s="56">
        <v>-0.14000000000000001</v>
      </c>
      <c r="H27" s="56">
        <v>-1.2529999999999999</v>
      </c>
      <c r="I27" s="56">
        <v>8.3659999999999997</v>
      </c>
      <c r="J27" s="56">
        <v>-1.105</v>
      </c>
      <c r="K27" s="56">
        <v>-1.6259999999999999</v>
      </c>
    </row>
    <row r="28" spans="1:11">
      <c r="A28" s="55">
        <v>6</v>
      </c>
      <c r="D28" s="55">
        <v>4</v>
      </c>
      <c r="F28" s="56">
        <v>-0.16300000000000001</v>
      </c>
      <c r="G28" s="56">
        <v>-0.1</v>
      </c>
      <c r="H28" s="56">
        <v>-1.1539999999999999</v>
      </c>
      <c r="I28" s="56">
        <v>7.4880000000000004</v>
      </c>
      <c r="J28" s="56">
        <v>-0.97699999999999998</v>
      </c>
      <c r="K28" s="56">
        <v>-1.4379999999999999</v>
      </c>
    </row>
    <row r="29" spans="1:11">
      <c r="A29" s="55">
        <v>6</v>
      </c>
      <c r="D29" s="55">
        <v>3</v>
      </c>
      <c r="F29" s="56">
        <v>-0.10199999999999999</v>
      </c>
      <c r="G29" s="56">
        <v>-6.3E-2</v>
      </c>
      <c r="H29" s="56">
        <v>-0.96799999999999997</v>
      </c>
      <c r="I29" s="56">
        <v>6.1</v>
      </c>
      <c r="J29" s="56">
        <v>-0.78500000000000003</v>
      </c>
      <c r="K29" s="56">
        <v>-1.155</v>
      </c>
    </row>
    <row r="30" spans="1:11">
      <c r="A30" s="55">
        <v>6</v>
      </c>
      <c r="D30" s="55">
        <v>2</v>
      </c>
      <c r="F30" s="56">
        <v>-4.9000000000000002E-2</v>
      </c>
      <c r="G30" s="56">
        <v>-0.03</v>
      </c>
      <c r="H30" s="56">
        <v>-0.69699999999999995</v>
      </c>
      <c r="I30" s="56">
        <v>4.2240000000000002</v>
      </c>
      <c r="J30" s="56">
        <v>-0.53400000000000003</v>
      </c>
      <c r="K30" s="56">
        <v>-0.78600000000000003</v>
      </c>
    </row>
    <row r="31" spans="1:11">
      <c r="A31" s="55">
        <v>6</v>
      </c>
      <c r="D31" s="55">
        <v>1</v>
      </c>
      <c r="F31" s="56">
        <v>-1.2999999999999999E-2</v>
      </c>
      <c r="G31" s="56">
        <v>-8.0000000000000002E-3</v>
      </c>
      <c r="H31" s="56">
        <v>-0.36</v>
      </c>
      <c r="I31" s="56">
        <v>2.0350000000000001</v>
      </c>
      <c r="J31" s="56">
        <v>-0.251</v>
      </c>
      <c r="K31" s="56">
        <v>-0.36899999999999999</v>
      </c>
    </row>
    <row r="32" spans="1:11">
      <c r="A32" s="55">
        <v>7</v>
      </c>
      <c r="D32" s="55">
        <v>5</v>
      </c>
      <c r="F32" s="56">
        <v>-0.18099999999999999</v>
      </c>
      <c r="G32" s="56">
        <v>-0.11</v>
      </c>
      <c r="H32" s="56">
        <v>-1.107</v>
      </c>
      <c r="I32" s="56">
        <v>8.52</v>
      </c>
      <c r="J32" s="56">
        <v>-0.47299999999999998</v>
      </c>
      <c r="K32" s="56">
        <v>-0.69499999999999995</v>
      </c>
    </row>
    <row r="33" spans="1:11">
      <c r="A33" s="55">
        <v>7</v>
      </c>
      <c r="D33" s="55">
        <v>4</v>
      </c>
      <c r="F33" s="56">
        <v>-0.128</v>
      </c>
      <c r="G33" s="56">
        <v>-7.8E-2</v>
      </c>
      <c r="H33" s="56">
        <v>-1.002</v>
      </c>
      <c r="I33" s="56">
        <v>7.601</v>
      </c>
      <c r="J33" s="56">
        <v>-0.42199999999999999</v>
      </c>
      <c r="K33" s="56">
        <v>-0.62</v>
      </c>
    </row>
    <row r="34" spans="1:11">
      <c r="A34" s="55">
        <v>7</v>
      </c>
      <c r="D34" s="55">
        <v>3</v>
      </c>
      <c r="F34" s="56">
        <v>-7.8E-2</v>
      </c>
      <c r="G34" s="56">
        <v>-4.7E-2</v>
      </c>
      <c r="H34" s="56">
        <v>-0.82499999999999996</v>
      </c>
      <c r="I34" s="56">
        <v>6.1669999999999998</v>
      </c>
      <c r="J34" s="56">
        <v>-0.34200000000000003</v>
      </c>
      <c r="K34" s="56">
        <v>-0.503</v>
      </c>
    </row>
    <row r="35" spans="1:11">
      <c r="A35" s="55">
        <v>7</v>
      </c>
      <c r="D35" s="55">
        <v>2</v>
      </c>
      <c r="F35" s="56">
        <v>-3.6999999999999998E-2</v>
      </c>
      <c r="G35" s="56">
        <v>-2.1999999999999999E-2</v>
      </c>
      <c r="H35" s="56">
        <v>-0.57999999999999996</v>
      </c>
      <c r="I35" s="56">
        <v>4.2439999999999998</v>
      </c>
      <c r="J35" s="56">
        <v>-0.23699999999999999</v>
      </c>
      <c r="K35" s="56">
        <v>-0.34799999999999998</v>
      </c>
    </row>
    <row r="36" spans="1:11">
      <c r="A36" s="55">
        <v>7</v>
      </c>
      <c r="D36" s="55">
        <v>1</v>
      </c>
      <c r="F36" s="56">
        <v>-0.01</v>
      </c>
      <c r="G36" s="56">
        <v>-6.0000000000000001E-3</v>
      </c>
      <c r="H36" s="56">
        <v>-0.28899999999999998</v>
      </c>
      <c r="I36" s="56">
        <v>2.0190000000000001</v>
      </c>
      <c r="J36" s="56">
        <v>-0.115</v>
      </c>
      <c r="K36" s="56">
        <v>-0.16900000000000001</v>
      </c>
    </row>
    <row r="37" spans="1:11">
      <c r="A37" s="55">
        <v>8</v>
      </c>
      <c r="D37" s="55">
        <v>5</v>
      </c>
      <c r="F37" s="56">
        <v>-0.14299999999999999</v>
      </c>
      <c r="G37" s="56">
        <v>-8.5000000000000006E-2</v>
      </c>
      <c r="H37" s="56">
        <v>-1.129</v>
      </c>
      <c r="I37" s="56">
        <v>9.8109999999999999</v>
      </c>
      <c r="J37" s="56">
        <v>3.9E-2</v>
      </c>
      <c r="K37" s="56">
        <v>5.7000000000000002E-2</v>
      </c>
    </row>
    <row r="38" spans="1:11">
      <c r="A38" s="55">
        <v>8</v>
      </c>
      <c r="D38" s="55">
        <v>4</v>
      </c>
      <c r="F38" s="56">
        <v>-0.10100000000000001</v>
      </c>
      <c r="G38" s="56">
        <v>-5.8999999999999997E-2</v>
      </c>
      <c r="H38" s="56">
        <v>-1.0029999999999999</v>
      </c>
      <c r="I38" s="56">
        <v>8.7119999999999997</v>
      </c>
      <c r="J38" s="56">
        <v>2.8000000000000001E-2</v>
      </c>
      <c r="K38" s="56">
        <v>4.1000000000000002E-2</v>
      </c>
    </row>
    <row r="39" spans="1:11">
      <c r="A39" s="55">
        <v>8</v>
      </c>
      <c r="D39" s="55">
        <v>3</v>
      </c>
      <c r="F39" s="56">
        <v>-5.8999999999999997E-2</v>
      </c>
      <c r="G39" s="56">
        <v>-3.5000000000000003E-2</v>
      </c>
      <c r="H39" s="56">
        <v>-0.81</v>
      </c>
      <c r="I39" s="56">
        <v>7.0289999999999999</v>
      </c>
      <c r="J39" s="56">
        <v>1.6E-2</v>
      </c>
      <c r="K39" s="56">
        <v>2.3E-2</v>
      </c>
    </row>
    <row r="40" spans="1:11">
      <c r="A40" s="55">
        <v>8</v>
      </c>
      <c r="D40" s="55">
        <v>2</v>
      </c>
      <c r="F40" s="56">
        <v>-2.7E-2</v>
      </c>
      <c r="G40" s="56">
        <v>-1.6E-2</v>
      </c>
      <c r="H40" s="56">
        <v>-0.55300000000000005</v>
      </c>
      <c r="I40" s="56">
        <v>4.7910000000000004</v>
      </c>
      <c r="J40" s="56">
        <v>4.0000000000000001E-3</v>
      </c>
      <c r="K40" s="56">
        <v>6.0000000000000001E-3</v>
      </c>
    </row>
    <row r="41" spans="1:11">
      <c r="A41" s="55">
        <v>8</v>
      </c>
      <c r="D41" s="55">
        <v>1</v>
      </c>
      <c r="F41" s="56">
        <v>-7.0000000000000001E-3</v>
      </c>
      <c r="G41" s="56">
        <v>-4.0000000000000001E-3</v>
      </c>
      <c r="H41" s="56">
        <v>-0.26100000000000001</v>
      </c>
      <c r="I41" s="56">
        <v>2.234</v>
      </c>
      <c r="J41" s="56">
        <v>-5.0000000000000001E-3</v>
      </c>
      <c r="K41" s="56">
        <v>-8.0000000000000002E-3</v>
      </c>
    </row>
    <row r="42" spans="1:11">
      <c r="A42" s="55">
        <v>9</v>
      </c>
      <c r="D42" s="55">
        <v>5</v>
      </c>
      <c r="F42" s="56">
        <v>-0.114</v>
      </c>
      <c r="G42" s="56">
        <v>-6.6000000000000003E-2</v>
      </c>
      <c r="H42" s="56">
        <v>-1.234</v>
      </c>
      <c r="I42" s="56">
        <v>11.337</v>
      </c>
      <c r="J42" s="56">
        <v>0.442</v>
      </c>
      <c r="K42" s="56">
        <v>0.65</v>
      </c>
    </row>
    <row r="43" spans="1:11">
      <c r="A43" s="55">
        <v>9</v>
      </c>
      <c r="D43" s="55">
        <v>4</v>
      </c>
      <c r="F43" s="56">
        <v>-7.9000000000000001E-2</v>
      </c>
      <c r="G43" s="56">
        <v>-4.4999999999999998E-2</v>
      </c>
      <c r="H43" s="56">
        <v>-1.0860000000000001</v>
      </c>
      <c r="I43" s="56">
        <v>10.041</v>
      </c>
      <c r="J43" s="56">
        <v>0.38200000000000001</v>
      </c>
      <c r="K43" s="56">
        <v>0.56200000000000006</v>
      </c>
    </row>
    <row r="44" spans="1:11">
      <c r="A44" s="55">
        <v>9</v>
      </c>
      <c r="D44" s="55">
        <v>3</v>
      </c>
      <c r="F44" s="56">
        <v>-4.3999999999999997E-2</v>
      </c>
      <c r="G44" s="56">
        <v>-2.5000000000000001E-2</v>
      </c>
      <c r="H44" s="56">
        <v>-0.86799999999999999</v>
      </c>
      <c r="I44" s="56">
        <v>8.0719999999999992</v>
      </c>
      <c r="J44" s="56">
        <v>0.29899999999999999</v>
      </c>
      <c r="K44" s="56">
        <v>0.439</v>
      </c>
    </row>
    <row r="45" spans="1:11">
      <c r="A45" s="55">
        <v>9</v>
      </c>
      <c r="D45" s="55">
        <v>2</v>
      </c>
      <c r="F45" s="56">
        <v>-1.9E-2</v>
      </c>
      <c r="G45" s="56">
        <v>-0.01</v>
      </c>
      <c r="H45" s="56">
        <v>-0.58299999999999996</v>
      </c>
      <c r="I45" s="56">
        <v>5.4660000000000002</v>
      </c>
      <c r="J45" s="56">
        <v>0.19400000000000001</v>
      </c>
      <c r="K45" s="56">
        <v>0.28499999999999998</v>
      </c>
    </row>
    <row r="46" spans="1:11">
      <c r="A46" s="55">
        <v>9</v>
      </c>
      <c r="D46" s="55">
        <v>1</v>
      </c>
      <c r="F46" s="56">
        <v>-5.0000000000000001E-3</v>
      </c>
      <c r="G46" s="56">
        <v>-3.0000000000000001E-3</v>
      </c>
      <c r="H46" s="56">
        <v>-0.26600000000000001</v>
      </c>
      <c r="I46" s="56">
        <v>2.5129999999999999</v>
      </c>
      <c r="J46" s="56">
        <v>8.1000000000000003E-2</v>
      </c>
      <c r="K46" s="56">
        <v>0.11899999999999999</v>
      </c>
    </row>
    <row r="47" spans="1:11">
      <c r="A47" s="55">
        <v>10</v>
      </c>
      <c r="D47" s="55">
        <v>5</v>
      </c>
      <c r="F47" s="56">
        <v>-8.3000000000000004E-2</v>
      </c>
      <c r="G47" s="56">
        <v>-4.4999999999999998E-2</v>
      </c>
      <c r="H47" s="56">
        <v>-1.41</v>
      </c>
      <c r="I47" s="56">
        <v>13.273999999999999</v>
      </c>
      <c r="J47" s="56">
        <v>0.873</v>
      </c>
      <c r="K47" s="56">
        <v>1.284</v>
      </c>
    </row>
    <row r="48" spans="1:11">
      <c r="A48" s="55">
        <v>10</v>
      </c>
      <c r="D48" s="55">
        <v>4</v>
      </c>
      <c r="F48" s="56">
        <v>-5.5E-2</v>
      </c>
      <c r="G48" s="56">
        <v>-0.03</v>
      </c>
      <c r="H48" s="56">
        <v>-1.2370000000000001</v>
      </c>
      <c r="I48" s="56">
        <v>11.734</v>
      </c>
      <c r="J48" s="56">
        <v>0.76</v>
      </c>
      <c r="K48" s="56">
        <v>1.119</v>
      </c>
    </row>
    <row r="49" spans="1:11">
      <c r="A49" s="55">
        <v>10</v>
      </c>
      <c r="D49" s="55">
        <v>3</v>
      </c>
      <c r="F49" s="56">
        <v>-2.8000000000000001E-2</v>
      </c>
      <c r="G49" s="56">
        <v>-1.4E-2</v>
      </c>
      <c r="H49" s="56">
        <v>-0.98399999999999999</v>
      </c>
      <c r="I49" s="56">
        <v>9.4090000000000007</v>
      </c>
      <c r="J49" s="56">
        <v>0.6</v>
      </c>
      <c r="K49" s="56">
        <v>0.88300000000000001</v>
      </c>
    </row>
    <row r="50" spans="1:11">
      <c r="A50" s="55">
        <v>10</v>
      </c>
      <c r="D50" s="55">
        <v>2</v>
      </c>
      <c r="F50" s="56">
        <v>-1.0999999999999999E-2</v>
      </c>
      <c r="G50" s="56">
        <v>-5.0000000000000001E-3</v>
      </c>
      <c r="H50" s="56">
        <v>-0.65700000000000003</v>
      </c>
      <c r="I50" s="56">
        <v>6.3419999999999996</v>
      </c>
      <c r="J50" s="56">
        <v>0.39600000000000002</v>
      </c>
      <c r="K50" s="56">
        <v>0.58299999999999996</v>
      </c>
    </row>
    <row r="51" spans="1:11">
      <c r="A51" s="55">
        <v>10</v>
      </c>
      <c r="D51" s="55">
        <v>1</v>
      </c>
      <c r="F51" s="56">
        <v>-3.0000000000000001E-3</v>
      </c>
      <c r="G51" s="56">
        <v>-1E-3</v>
      </c>
      <c r="H51" s="56">
        <v>-0.29499999999999998</v>
      </c>
      <c r="I51" s="56">
        <v>2.8839999999999999</v>
      </c>
      <c r="J51" s="56">
        <v>0.17299999999999999</v>
      </c>
      <c r="K51" s="56">
        <v>0.255</v>
      </c>
    </row>
    <row r="52" spans="1:11">
      <c r="A52" s="55">
        <v>11</v>
      </c>
      <c r="D52" s="55">
        <v>5</v>
      </c>
      <c r="F52" s="56">
        <v>-4.2000000000000003E-2</v>
      </c>
      <c r="G52" s="56">
        <v>-1.7999999999999999E-2</v>
      </c>
      <c r="H52" s="56">
        <v>-1.7070000000000001</v>
      </c>
      <c r="I52" s="56">
        <v>16.109000000000002</v>
      </c>
      <c r="J52" s="56">
        <v>1.4379999999999999</v>
      </c>
      <c r="K52" s="56">
        <v>2.1150000000000002</v>
      </c>
    </row>
    <row r="53" spans="1:11">
      <c r="A53" s="55">
        <v>11</v>
      </c>
      <c r="D53" s="55">
        <v>4</v>
      </c>
      <c r="F53" s="56">
        <v>-2.4E-2</v>
      </c>
      <c r="G53" s="56">
        <v>-0.01</v>
      </c>
      <c r="H53" s="56">
        <v>-1.4990000000000001</v>
      </c>
      <c r="I53" s="56">
        <v>14.22</v>
      </c>
      <c r="J53" s="56">
        <v>1.2569999999999999</v>
      </c>
      <c r="K53" s="56">
        <v>1.849</v>
      </c>
    </row>
    <row r="54" spans="1:11">
      <c r="A54" s="55">
        <v>11</v>
      </c>
      <c r="D54" s="55">
        <v>3</v>
      </c>
      <c r="F54" s="56">
        <v>-7.0000000000000001E-3</v>
      </c>
      <c r="G54" s="56">
        <v>-1E-3</v>
      </c>
      <c r="H54" s="56">
        <v>-1.1950000000000001</v>
      </c>
      <c r="I54" s="56">
        <v>11.381</v>
      </c>
      <c r="J54" s="56">
        <v>0.996</v>
      </c>
      <c r="K54" s="56">
        <v>1.4650000000000001</v>
      </c>
    </row>
    <row r="55" spans="1:11">
      <c r="A55" s="55">
        <v>11</v>
      </c>
      <c r="D55" s="55">
        <v>2</v>
      </c>
      <c r="F55" s="56">
        <v>0</v>
      </c>
      <c r="G55" s="56">
        <v>3.0000000000000001E-3</v>
      </c>
      <c r="H55" s="56">
        <v>-0.8</v>
      </c>
      <c r="I55" s="56">
        <v>7.6429999999999998</v>
      </c>
      <c r="J55" s="56">
        <v>0.66200000000000003</v>
      </c>
      <c r="K55" s="56">
        <v>0.97399999999999998</v>
      </c>
    </row>
    <row r="56" spans="1:11">
      <c r="A56" s="55">
        <v>11</v>
      </c>
      <c r="D56" s="55">
        <v>1</v>
      </c>
      <c r="F56" s="56">
        <v>1E-3</v>
      </c>
      <c r="G56" s="56">
        <v>1E-3</v>
      </c>
      <c r="H56" s="56">
        <v>-0.36099999999999999</v>
      </c>
      <c r="I56" s="56">
        <v>3.4460000000000002</v>
      </c>
      <c r="J56" s="56">
        <v>0.29399999999999998</v>
      </c>
      <c r="K56" s="56">
        <v>0.433</v>
      </c>
    </row>
    <row r="57" spans="1:11">
      <c r="A57" s="55">
        <v>12</v>
      </c>
      <c r="D57" s="55">
        <v>5</v>
      </c>
      <c r="F57" s="56">
        <v>-7.0000000000000001E-3</v>
      </c>
      <c r="G57" s="56">
        <v>5.0000000000000001E-3</v>
      </c>
      <c r="H57" s="56">
        <v>-1.9990000000000001</v>
      </c>
      <c r="I57" s="56">
        <v>18.699000000000002</v>
      </c>
      <c r="J57" s="56">
        <v>1.9219999999999999</v>
      </c>
      <c r="K57" s="56">
        <v>2.8279999999999998</v>
      </c>
    </row>
    <row r="58" spans="1:11">
      <c r="A58" s="55">
        <v>12</v>
      </c>
      <c r="D58" s="55">
        <v>4</v>
      </c>
      <c r="F58" s="56">
        <v>2E-3</v>
      </c>
      <c r="G58" s="56">
        <v>8.0000000000000002E-3</v>
      </c>
      <c r="H58" s="56">
        <v>-1.76</v>
      </c>
      <c r="I58" s="56">
        <v>16.495000000000001</v>
      </c>
      <c r="J58" s="56">
        <v>1.6830000000000001</v>
      </c>
      <c r="K58" s="56">
        <v>2.4750000000000001</v>
      </c>
    </row>
    <row r="59" spans="1:11">
      <c r="A59" s="55">
        <v>12</v>
      </c>
      <c r="D59" s="55">
        <v>3</v>
      </c>
      <c r="F59" s="56">
        <v>1.0999999999999999E-2</v>
      </c>
      <c r="G59" s="56">
        <v>1.0999999999999999E-2</v>
      </c>
      <c r="H59" s="56">
        <v>-1.4079999999999999</v>
      </c>
      <c r="I59" s="56">
        <v>13.19</v>
      </c>
      <c r="J59" s="56">
        <v>1.335</v>
      </c>
      <c r="K59" s="56">
        <v>1.964</v>
      </c>
    </row>
    <row r="60" spans="1:11">
      <c r="A60" s="55">
        <v>12</v>
      </c>
      <c r="D60" s="55">
        <v>2</v>
      </c>
      <c r="F60" s="56">
        <v>0.01</v>
      </c>
      <c r="G60" s="56">
        <v>8.9999999999999993E-3</v>
      </c>
      <c r="H60" s="56">
        <v>-0.94799999999999995</v>
      </c>
      <c r="I60" s="56">
        <v>8.843</v>
      </c>
      <c r="J60" s="56">
        <v>0.89</v>
      </c>
      <c r="K60" s="56">
        <v>1.3089999999999999</v>
      </c>
    </row>
    <row r="61" spans="1:11">
      <c r="A61" s="55">
        <v>12</v>
      </c>
      <c r="D61" s="55">
        <v>1</v>
      </c>
      <c r="F61" s="56">
        <v>3.0000000000000001E-3</v>
      </c>
      <c r="G61" s="56">
        <v>3.0000000000000001E-3</v>
      </c>
      <c r="H61" s="56">
        <v>-0.433</v>
      </c>
      <c r="I61" s="56">
        <v>3.97</v>
      </c>
      <c r="J61" s="56">
        <v>0.39800000000000002</v>
      </c>
      <c r="K61" s="56">
        <v>0.58599999999999997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N30"/>
  <sheetViews>
    <sheetView workbookViewId="0">
      <selection activeCell="K2" sqref="K2"/>
    </sheetView>
  </sheetViews>
  <sheetFormatPr defaultRowHeight="12.75"/>
  <cols>
    <col min="5" max="5" width="9" customWidth="1"/>
  </cols>
  <sheetData>
    <row r="2" spans="1:14" s="1" customFormat="1">
      <c r="A2" s="6" t="s">
        <v>21</v>
      </c>
      <c r="B2" s="33">
        <f>SPI!D2</f>
        <v>5</v>
      </c>
      <c r="D2" s="8" t="str">
        <f>IF(B2&gt;10,"ERRORE: Il foglio di calcolo è dimensionato per max 10 piani","")</f>
        <v/>
      </c>
      <c r="J2" s="40" t="s">
        <v>131</v>
      </c>
      <c r="K2" s="27">
        <v>5</v>
      </c>
    </row>
    <row r="3" spans="1:14" s="1" customFormat="1">
      <c r="B3" s="1" t="s">
        <v>117</v>
      </c>
      <c r="J3" s="39" t="s">
        <v>133</v>
      </c>
      <c r="K3" s="1">
        <f>Telai!CF1</f>
        <v>5</v>
      </c>
    </row>
    <row r="4" spans="1:14" s="1" customFormat="1"/>
    <row r="5" spans="1:14" s="1" customFormat="1">
      <c r="A5" s="1" t="s">
        <v>118</v>
      </c>
      <c r="B5" s="33">
        <f>Telai!CC1</f>
        <v>12</v>
      </c>
      <c r="C5" s="53" t="str">
        <f>IF(B5&gt;20,"ERRORE: Il foglio di calcolo è dimensionato per max 20 telai","")</f>
        <v/>
      </c>
      <c r="J5" s="40" t="s">
        <v>132</v>
      </c>
      <c r="K5" s="33">
        <f>IF(K2="","",MAX(0,B5-K2))</f>
        <v>7</v>
      </c>
      <c r="L5" s="53" t="str">
        <f>IF(AND(K5&lt;&gt;"",K5&gt;12),"ERRORE: Il foglio di calcolo è dimensionato per","")</f>
        <v/>
      </c>
    </row>
    <row r="6" spans="1:14" s="1" customFormat="1">
      <c r="B6" s="1" t="s">
        <v>119</v>
      </c>
      <c r="J6" s="49"/>
      <c r="L6" s="53" t="str">
        <f>IF(AND(K5&lt;&gt;"",K5&gt;12),"                 max 12 telai per ciascuna direzione","")</f>
        <v/>
      </c>
    </row>
    <row r="7" spans="1:14" s="1" customFormat="1">
      <c r="K7" s="53" t="str">
        <f>IF(AND(K2&lt;&gt;"",K2&gt;12),"ERRORE: Il foglio di calcolo è dimensionato per","")</f>
        <v/>
      </c>
      <c r="L7" s="8"/>
    </row>
    <row r="8" spans="1:14" s="1" customFormat="1">
      <c r="A8" s="10" t="s">
        <v>22</v>
      </c>
      <c r="E8" s="7" t="s">
        <v>135</v>
      </c>
      <c r="K8" s="53" t="str">
        <f>IF(AND(K2&lt;&gt;"",K2&gt;12),"                 max 12 telai per ciascuna direzione","")</f>
        <v/>
      </c>
    </row>
    <row r="9" spans="1:14" s="1" customFormat="1">
      <c r="A9" s="6" t="s">
        <v>23</v>
      </c>
      <c r="B9" s="27">
        <v>6</v>
      </c>
      <c r="C9" s="8" t="str">
        <f>IF(B9&gt;12,"ERRORE: previsti max 12 punti",IF(B9&lt;3,"ERRORE: almeno 3 punti",""))</f>
        <v/>
      </c>
      <c r="E9" s="27">
        <v>0.03</v>
      </c>
      <c r="F9" s="7" t="s">
        <v>136</v>
      </c>
    </row>
    <row r="10" spans="1:14" s="1" customFormat="1"/>
    <row r="11" spans="1:14" s="1" customFormat="1">
      <c r="A11" s="7" t="s">
        <v>24</v>
      </c>
    </row>
    <row r="12" spans="1:14" s="1" customFormat="1">
      <c r="B12" s="1">
        <v>1</v>
      </c>
      <c r="C12" s="1">
        <v>2</v>
      </c>
      <c r="D12" s="1">
        <v>3</v>
      </c>
      <c r="E12" s="1">
        <f>IF(COLUMN(E12)-2&lt;$B$9,COLUMN(E12)-1,"")</f>
        <v>4</v>
      </c>
      <c r="F12" s="1">
        <f t="shared" ref="F12:M12" si="0">IF(COLUMN(F12)-2&lt;$B$9,COLUMN(F12)-1,"")</f>
        <v>5</v>
      </c>
      <c r="G12" s="1">
        <f t="shared" si="0"/>
        <v>6</v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6" t="str">
        <f>""</f>
        <v/>
      </c>
    </row>
    <row r="13" spans="1:14" s="1" customFormat="1">
      <c r="A13" s="1" t="s">
        <v>7</v>
      </c>
      <c r="B13" s="28">
        <v>0</v>
      </c>
      <c r="C13" s="28">
        <v>22.8</v>
      </c>
      <c r="D13" s="28">
        <v>22.8</v>
      </c>
      <c r="E13" s="28">
        <v>8.8000000000000007</v>
      </c>
      <c r="F13" s="28">
        <v>8.8000000000000007</v>
      </c>
      <c r="G13" s="28">
        <v>0</v>
      </c>
      <c r="H13" s="28"/>
      <c r="I13" s="28"/>
      <c r="J13" s="28"/>
      <c r="K13" s="28"/>
      <c r="L13" s="28"/>
      <c r="M13" s="28"/>
    </row>
    <row r="14" spans="1:14" s="1" customFormat="1">
      <c r="A14" s="1" t="s">
        <v>8</v>
      </c>
      <c r="B14" s="28">
        <v>0</v>
      </c>
      <c r="C14" s="28">
        <v>0</v>
      </c>
      <c r="D14" s="28">
        <v>8.9</v>
      </c>
      <c r="E14" s="28">
        <v>8.9</v>
      </c>
      <c r="F14" s="28">
        <v>16</v>
      </c>
      <c r="G14" s="28">
        <v>16</v>
      </c>
      <c r="H14" s="28"/>
      <c r="I14" s="28"/>
      <c r="J14" s="28"/>
      <c r="K14" s="28"/>
      <c r="L14" s="28"/>
      <c r="M14" s="28"/>
    </row>
    <row r="15" spans="1:14" s="1" customFormat="1"/>
    <row r="16" spans="1:14">
      <c r="A16" s="10" t="s">
        <v>120</v>
      </c>
      <c r="E16" s="10" t="s">
        <v>120</v>
      </c>
    </row>
    <row r="18" spans="1:7">
      <c r="A18" s="37" t="s">
        <v>105</v>
      </c>
      <c r="B18" s="6" t="s">
        <v>8</v>
      </c>
      <c r="C18" s="36" t="s">
        <v>121</v>
      </c>
      <c r="E18" s="37" t="s">
        <v>105</v>
      </c>
      <c r="F18" s="6" t="s">
        <v>7</v>
      </c>
      <c r="G18" s="36" t="s">
        <v>121</v>
      </c>
    </row>
    <row r="19" spans="1:7">
      <c r="A19" s="1">
        <v>1</v>
      </c>
      <c r="B19" s="28">
        <v>0.15</v>
      </c>
      <c r="C19" s="3">
        <f>Telai!H9</f>
        <v>0.15</v>
      </c>
      <c r="E19" s="1">
        <v>1</v>
      </c>
      <c r="F19" s="28">
        <v>0.15</v>
      </c>
      <c r="G19" s="3">
        <f>IF(E19="","",INDEX(Telai!$K$9:$K$28,Dati!$K$2+E19))</f>
        <v>0.15</v>
      </c>
    </row>
    <row r="20" spans="1:7">
      <c r="A20" s="1">
        <f t="shared" ref="A20:A30" si="1">IF(A19&lt;$K$2,A19+1,"")</f>
        <v>2</v>
      </c>
      <c r="B20" s="28">
        <v>4.55</v>
      </c>
      <c r="C20" s="3">
        <f>Telai!H10</f>
        <v>4.55</v>
      </c>
      <c r="E20" s="1">
        <f t="shared" ref="E20:E30" si="2">IF(E19&lt;$K$5,E19+1,"")</f>
        <v>2</v>
      </c>
      <c r="F20" s="28">
        <v>4.8499999999999996</v>
      </c>
      <c r="G20" s="3">
        <f>IF(E20="","",INDEX(Telai!$K$9:$K$28,Dati!$K$2+E20))</f>
        <v>4.8499999999999996</v>
      </c>
    </row>
    <row r="21" spans="1:7">
      <c r="A21" s="1">
        <f t="shared" si="1"/>
        <v>3</v>
      </c>
      <c r="B21" s="28">
        <v>8.75</v>
      </c>
      <c r="C21" s="3">
        <f>Telai!H11</f>
        <v>8.75</v>
      </c>
      <c r="E21" s="1">
        <f t="shared" si="2"/>
        <v>3</v>
      </c>
      <c r="F21" s="28">
        <v>8.65</v>
      </c>
      <c r="G21" s="3">
        <f>IF(E21="","",INDEX(Telai!$K$9:$K$28,Dati!$K$2+E21))</f>
        <v>8.65</v>
      </c>
    </row>
    <row r="22" spans="1:7">
      <c r="A22" s="1">
        <f t="shared" si="1"/>
        <v>4</v>
      </c>
      <c r="B22" s="28">
        <v>12.25</v>
      </c>
      <c r="C22" s="3">
        <f>Telai!H12</f>
        <v>12.25</v>
      </c>
      <c r="E22" s="1">
        <f t="shared" si="2"/>
        <v>4</v>
      </c>
      <c r="F22" s="28">
        <v>11.65</v>
      </c>
      <c r="G22" s="3">
        <f>IF(E22="","",INDEX(Telai!$K$9:$K$28,Dati!$K$2+E22))</f>
        <v>11.65</v>
      </c>
    </row>
    <row r="23" spans="1:7">
      <c r="A23" s="1">
        <f t="shared" si="1"/>
        <v>5</v>
      </c>
      <c r="B23" s="28">
        <v>15.85</v>
      </c>
      <c r="C23" s="3">
        <f>Telai!H13</f>
        <v>15.85</v>
      </c>
      <c r="E23" s="1">
        <f t="shared" si="2"/>
        <v>5</v>
      </c>
      <c r="F23" s="28">
        <v>14.85</v>
      </c>
      <c r="G23" s="3">
        <f>IF(E23="","",INDEX(Telai!$K$9:$K$28,Dati!$K$2+E23))</f>
        <v>14.85</v>
      </c>
    </row>
    <row r="24" spans="1:7">
      <c r="A24" s="1" t="str">
        <f t="shared" si="1"/>
        <v/>
      </c>
      <c r="B24" s="28"/>
      <c r="C24" s="3" t="str">
        <f>Telai!H14</f>
        <v/>
      </c>
      <c r="E24" s="1">
        <f t="shared" si="2"/>
        <v>6</v>
      </c>
      <c r="F24" s="28">
        <v>19.05</v>
      </c>
      <c r="G24" s="3">
        <f>IF(E24="","",INDEX(Telai!$K$9:$K$28,Dati!$K$2+E24))</f>
        <v>19.05</v>
      </c>
    </row>
    <row r="25" spans="1:7">
      <c r="A25" s="1" t="str">
        <f t="shared" si="1"/>
        <v/>
      </c>
      <c r="B25" s="28"/>
      <c r="C25" s="3" t="str">
        <f>Telai!H15</f>
        <v/>
      </c>
      <c r="E25" s="1">
        <f t="shared" si="2"/>
        <v>7</v>
      </c>
      <c r="F25" s="28">
        <v>22.65</v>
      </c>
      <c r="G25" s="3">
        <f>IF(E25="","",INDEX(Telai!$K$9:$K$28,Dati!$K$2+E25))</f>
        <v>22.65</v>
      </c>
    </row>
    <row r="26" spans="1:7">
      <c r="A26" s="1" t="str">
        <f t="shared" si="1"/>
        <v/>
      </c>
      <c r="B26" s="28"/>
      <c r="C26" s="3" t="str">
        <f>Telai!H16</f>
        <v/>
      </c>
      <c r="E26" s="1" t="str">
        <f t="shared" si="2"/>
        <v/>
      </c>
      <c r="F26" s="28"/>
      <c r="G26" s="3" t="str">
        <f>IF(E26="","",INDEX(Telai!$K$9:$K$28,Dati!$K$2+E26))</f>
        <v/>
      </c>
    </row>
    <row r="27" spans="1:7">
      <c r="A27" s="1" t="str">
        <f t="shared" si="1"/>
        <v/>
      </c>
      <c r="B27" s="28"/>
      <c r="C27" s="3" t="str">
        <f>Telai!H17</f>
        <v/>
      </c>
      <c r="E27" s="1" t="str">
        <f t="shared" si="2"/>
        <v/>
      </c>
      <c r="F27" s="28"/>
      <c r="G27" s="3" t="str">
        <f>IF(E27="","",INDEX(Telai!$K$9:$K$28,Dati!$K$2+E27))</f>
        <v/>
      </c>
    </row>
    <row r="28" spans="1:7">
      <c r="A28" s="1" t="str">
        <f t="shared" si="1"/>
        <v/>
      </c>
      <c r="B28" s="28"/>
      <c r="C28" s="3" t="str">
        <f>Telai!H18</f>
        <v/>
      </c>
      <c r="E28" s="1" t="str">
        <f t="shared" si="2"/>
        <v/>
      </c>
      <c r="F28" s="28"/>
      <c r="G28" s="3" t="str">
        <f>IF(E28="","",INDEX(Telai!$K$9:$K$28,Dati!$K$2+E28))</f>
        <v/>
      </c>
    </row>
    <row r="29" spans="1:7">
      <c r="A29" s="1" t="str">
        <f t="shared" si="1"/>
        <v/>
      </c>
      <c r="B29" s="28"/>
      <c r="C29" s="3" t="str">
        <f>Telai!H19</f>
        <v/>
      </c>
      <c r="E29" s="1" t="str">
        <f t="shared" si="2"/>
        <v/>
      </c>
      <c r="F29" s="28"/>
      <c r="G29" s="3" t="str">
        <f>IF(E29="","",INDEX(Telai!$K$9:$K$28,Dati!$K$2+E29))</f>
        <v/>
      </c>
    </row>
    <row r="30" spans="1:7">
      <c r="A30" s="1" t="str">
        <f t="shared" si="1"/>
        <v/>
      </c>
      <c r="B30" s="28"/>
      <c r="C30" s="3" t="str">
        <f>Telai!H20</f>
        <v/>
      </c>
      <c r="E30" s="1" t="str">
        <f t="shared" si="2"/>
        <v/>
      </c>
      <c r="F30" s="28"/>
      <c r="G30" s="3" t="str">
        <f>IF(E30="","",INDEX(Telai!$K$9:$K$28,Dati!$K$2+E30))</f>
        <v/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T59"/>
  <sheetViews>
    <sheetView tabSelected="1" zoomScaleNormal="100" zoomScalePageLayoutView="90" workbookViewId="0">
      <selection activeCell="B2" sqref="B2"/>
    </sheetView>
  </sheetViews>
  <sheetFormatPr defaultColWidth="9.140625" defaultRowHeight="12.75"/>
  <cols>
    <col min="1" max="16384" width="9.140625" style="1"/>
  </cols>
  <sheetData>
    <row r="1" spans="1:20">
      <c r="A1" s="10" t="s">
        <v>43</v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>
      <c r="A2" s="6" t="s">
        <v>3</v>
      </c>
      <c r="B2" s="27">
        <v>1</v>
      </c>
      <c r="C2" s="8" t="str">
        <f>IF(OR(B2&gt;3*B51,B2&lt;1),"ERRORE: modo non ammissibile","")</f>
        <v/>
      </c>
      <c r="Q2" s="6">
        <v>1</v>
      </c>
      <c r="R2" s="24">
        <f>IF(Q2="","",HLOOKUP(Q2,'Elab-Modi'!$C$5:$AF$36,32))</f>
        <v>0.58199999999999996</v>
      </c>
      <c r="S2" s="31">
        <f>IF($Q2="","",HLOOKUP($Q2,'Elab-Modi'!$C$5:$AF$38,33,FALSE)/100)</f>
        <v>1.753E-2</v>
      </c>
      <c r="T2" s="31">
        <f>IF($Q2="","",HLOOKUP($Q2,'Elab-Modi'!$C$5:$AF$38,34,FALSE)/100)</f>
        <v>0.60882999999999998</v>
      </c>
    </row>
    <row r="3" spans="1:20">
      <c r="A3" s="6" t="s">
        <v>9</v>
      </c>
      <c r="B3" s="27">
        <v>1</v>
      </c>
      <c r="Q3" s="6">
        <v>2</v>
      </c>
      <c r="R3" s="24">
        <f>IF(Q3="","",HLOOKUP(Q3,'Elab-Modi'!$C$5:$AF$36,32))</f>
        <v>0.55300000000000005</v>
      </c>
      <c r="S3" s="31">
        <f>IF($Q3="","",HLOOKUP($Q3,'Elab-Modi'!$C$5:$AF$38,33,FALSE)/100)</f>
        <v>0.84001999999999999</v>
      </c>
      <c r="T3" s="31">
        <f>IF($Q3="","",HLOOKUP($Q3,'Elab-Modi'!$C$5:$AF$38,34,FALSE)/100)</f>
        <v>1.9599999999999999E-2</v>
      </c>
    </row>
    <row r="4" spans="1:20">
      <c r="Q4" s="6">
        <v>3</v>
      </c>
      <c r="R4" s="24">
        <f>IF(Q4="","",HLOOKUP(Q4,'Elab-Modi'!$C$5:$AF$36,32))</f>
        <v>0.46300000000000002</v>
      </c>
      <c r="S4" s="31">
        <f>IF($Q4="","",HLOOKUP($Q4,'Elab-Modi'!$C$5:$AF$38,33,FALSE)/100)</f>
        <v>2.7600000000000003E-3</v>
      </c>
      <c r="T4" s="31">
        <f>IF($Q4="","",HLOOKUP($Q4,'Elab-Modi'!$C$5:$AF$38,34,FALSE)/100)</f>
        <v>0.23027999999999998</v>
      </c>
    </row>
    <row r="5" spans="1:20">
      <c r="Q5" s="6">
        <f t="shared" ref="Q5:Q31" si="0">IF(ROW(Q5)-1&gt;3*$B$51,"",Q4+1)</f>
        <v>4</v>
      </c>
      <c r="R5" s="24">
        <f>IF(Q5="","",HLOOKUP(Q5,'Elab-Modi'!$C$5:$AF$36,32))</f>
        <v>0.183</v>
      </c>
      <c r="S5" s="31">
        <f>IF($Q5="","",HLOOKUP($Q5,'Elab-Modi'!$C$5:$AF$38,33,FALSE)/100)</f>
        <v>3.2200000000000002E-3</v>
      </c>
      <c r="T5" s="31">
        <f>IF($Q5="","",HLOOKUP($Q5,'Elab-Modi'!$C$5:$AF$38,34,FALSE)/100)</f>
        <v>6.9279999999999994E-2</v>
      </c>
    </row>
    <row r="6" spans="1:20">
      <c r="A6" s="6" t="s">
        <v>5</v>
      </c>
      <c r="B6" s="34">
        <f>VLOOKUP(B2,Q2:T31,2)</f>
        <v>0.58199999999999996</v>
      </c>
      <c r="C6" s="7" t="s">
        <v>62</v>
      </c>
      <c r="Q6" s="6">
        <f t="shared" si="0"/>
        <v>5</v>
      </c>
      <c r="R6" s="24">
        <f>IF(Q6="","",HLOOKUP(Q6,'Elab-Modi'!$C$5:$AF$36,32))</f>
        <v>0.17699999999999999</v>
      </c>
      <c r="S6" s="31">
        <f>IF($Q6="","",HLOOKUP($Q6,'Elab-Modi'!$C$5:$AF$38,33,FALSE)/100)</f>
        <v>8.9450000000000002E-2</v>
      </c>
      <c r="T6" s="31">
        <f>IF($Q6="","",HLOOKUP($Q6,'Elab-Modi'!$C$5:$AF$38,34,FALSE)/100)</f>
        <v>3.9700000000000004E-3</v>
      </c>
    </row>
    <row r="7" spans="1:20">
      <c r="A7" s="6"/>
      <c r="B7" s="25"/>
      <c r="C7" s="6"/>
      <c r="N7" s="6" t="str">
        <f>""</f>
        <v/>
      </c>
      <c r="Q7" s="6">
        <f t="shared" si="0"/>
        <v>6</v>
      </c>
      <c r="R7" s="24">
        <f>IF(Q7="","",HLOOKUP(Q7,'Elab-Modi'!$C$5:$AF$36,32))</f>
        <v>0.14799999999999999</v>
      </c>
      <c r="S7" s="31">
        <f>IF($Q7="","",HLOOKUP($Q7,'Elab-Modi'!$C$5:$AF$38,33,FALSE)/100)</f>
        <v>7.1999999999999994E-4</v>
      </c>
      <c r="T7" s="31">
        <f>IF($Q7="","",HLOOKUP($Q7,'Elab-Modi'!$C$5:$AF$38,34,FALSE)/100)</f>
        <v>2.1480000000000003E-2</v>
      </c>
    </row>
    <row r="8" spans="1:20">
      <c r="A8" s="6" t="s">
        <v>19</v>
      </c>
      <c r="B8" s="35">
        <f>VLOOKUP(B2,Q2:T31,3)</f>
        <v>1.753E-2</v>
      </c>
      <c r="C8" s="23"/>
      <c r="Q8" s="6">
        <f t="shared" si="0"/>
        <v>7</v>
      </c>
      <c r="R8" s="24">
        <f>IF(Q8="","",HLOOKUP(Q8,'Elab-Modi'!$C$5:$AF$36,32))</f>
        <v>9.9000000000000005E-2</v>
      </c>
      <c r="S8" s="31">
        <f>IF($Q8="","",HLOOKUP($Q8,'Elab-Modi'!$C$5:$AF$38,33,FALSE)/100)</f>
        <v>9.2399999999999999E-3</v>
      </c>
      <c r="T8" s="31">
        <f>IF($Q8="","",HLOOKUP($Q8,'Elab-Modi'!$C$5:$AF$38,34,FALSE)/100)</f>
        <v>1.5960000000000002E-2</v>
      </c>
    </row>
    <row r="9" spans="1:20">
      <c r="A9" s="6" t="s">
        <v>20</v>
      </c>
      <c r="B9" s="35">
        <f>VLOOKUP(B2,Q2:T31,4)</f>
        <v>0.60882999999999998</v>
      </c>
      <c r="C9" s="23"/>
      <c r="Q9" s="6">
        <f t="shared" si="0"/>
        <v>8</v>
      </c>
      <c r="R9" s="24">
        <f>IF(Q9="","",HLOOKUP(Q9,'Elab-Modi'!$C$5:$AF$36,32))</f>
        <v>9.8000000000000004E-2</v>
      </c>
      <c r="S9" s="31">
        <f>IF($Q9="","",HLOOKUP($Q9,'Elab-Modi'!$C$5:$AF$38,33,FALSE)/100)</f>
        <v>2.0099999999999996E-2</v>
      </c>
      <c r="T9" s="31">
        <f>IF($Q9="","",HLOOKUP($Q9,'Elab-Modi'!$C$5:$AF$38,34,FALSE)/100)</f>
        <v>9.4500000000000001E-3</v>
      </c>
    </row>
    <row r="10" spans="1:20">
      <c r="Q10" s="6">
        <f t="shared" si="0"/>
        <v>9</v>
      </c>
      <c r="R10" s="24">
        <f>IF(Q10="","",HLOOKUP(Q10,'Elab-Modi'!$C$5:$AF$36,32))</f>
        <v>8.2000000000000003E-2</v>
      </c>
      <c r="S10" s="31">
        <f>IF($Q10="","",HLOOKUP($Q10,'Elab-Modi'!$C$5:$AF$38,33,FALSE)/100)</f>
        <v>5.8999999999999992E-4</v>
      </c>
      <c r="T10" s="31">
        <f>IF($Q10="","",HLOOKUP($Q10,'Elab-Modi'!$C$5:$AF$38,34,FALSE)/100)</f>
        <v>4.8599999999999997E-3</v>
      </c>
    </row>
    <row r="11" spans="1:20">
      <c r="Q11" s="6">
        <f t="shared" si="0"/>
        <v>10</v>
      </c>
      <c r="R11" s="24">
        <f>IF(Q11="","",HLOOKUP(Q11,'Elab-Modi'!$C$5:$AF$36,32))</f>
        <v>6.6000000000000003E-2</v>
      </c>
      <c r="S11" s="31">
        <f>IF($Q11="","",HLOOKUP($Q11,'Elab-Modi'!$C$5:$AF$38,33,FALSE)/100)</f>
        <v>1.09E-2</v>
      </c>
      <c r="T11" s="31">
        <f>IF($Q11="","",HLOOKUP($Q11,'Elab-Modi'!$C$5:$AF$38,34,FALSE)/100)</f>
        <v>8.7999999999999992E-4</v>
      </c>
    </row>
    <row r="12" spans="1:20">
      <c r="Q12" s="6">
        <f t="shared" si="0"/>
        <v>11</v>
      </c>
      <c r="R12" s="24">
        <f>IF(Q12="","",HLOOKUP(Q12,'Elab-Modi'!$C$5:$AF$36,32))</f>
        <v>6.4000000000000001E-2</v>
      </c>
      <c r="S12" s="31">
        <f>IF($Q12="","",HLOOKUP($Q12,'Elab-Modi'!$C$5:$AF$38,33,FALSE)/100)</f>
        <v>1.4000000000000002E-3</v>
      </c>
      <c r="T12" s="31">
        <f>IF($Q12="","",HLOOKUP($Q12,'Elab-Modi'!$C$5:$AF$38,34,FALSE)/100)</f>
        <v>1.073E-2</v>
      </c>
    </row>
    <row r="13" spans="1:20">
      <c r="Q13" s="6">
        <f t="shared" si="0"/>
        <v>12</v>
      </c>
      <c r="R13" s="24">
        <f>IF(Q13="","",HLOOKUP(Q13,'Elab-Modi'!$C$5:$AF$36,32))</f>
        <v>5.5E-2</v>
      </c>
      <c r="S13" s="31">
        <f>IF($Q13="","",HLOOKUP($Q13,'Elab-Modi'!$C$5:$AF$38,33,FALSE)/100)</f>
        <v>5.6999999999999998E-4</v>
      </c>
      <c r="T13" s="31">
        <f>IF($Q13="","",HLOOKUP($Q13,'Elab-Modi'!$C$5:$AF$38,34,FALSE)/100)</f>
        <v>1.17E-3</v>
      </c>
    </row>
    <row r="14" spans="1:20">
      <c r="Q14" s="6">
        <f t="shared" si="0"/>
        <v>13</v>
      </c>
      <c r="R14" s="24">
        <f>IF(Q14="","",HLOOKUP(Q14,'Elab-Modi'!$C$5:$AF$36,32))</f>
        <v>5.0999999999999997E-2</v>
      </c>
      <c r="S14" s="31">
        <f>IF($Q14="","",HLOOKUP($Q14,'Elab-Modi'!$C$5:$AF$38,33,FALSE)/100)</f>
        <v>3.2200000000000002E-3</v>
      </c>
      <c r="T14" s="31">
        <f>IF($Q14="","",HLOOKUP($Q14,'Elab-Modi'!$C$5:$AF$38,34,FALSE)/100)</f>
        <v>6.0000000000000002E-5</v>
      </c>
    </row>
    <row r="15" spans="1:20">
      <c r="Q15" s="6">
        <f t="shared" si="0"/>
        <v>14</v>
      </c>
      <c r="R15" s="24">
        <f>IF(Q15="","",HLOOKUP(Q15,'Elab-Modi'!$C$5:$AF$36,32))</f>
        <v>0.05</v>
      </c>
      <c r="S15" s="31">
        <f>IF($Q15="","",HLOOKUP($Q15,'Elab-Modi'!$C$5:$AF$38,33,FALSE)/100)</f>
        <v>1.8999999999999998E-4</v>
      </c>
      <c r="T15" s="31">
        <f>IF($Q15="","",HLOOKUP($Q15,'Elab-Modi'!$C$5:$AF$38,34,FALSE)/100)</f>
        <v>3.3800000000000002E-3</v>
      </c>
    </row>
    <row r="16" spans="1:20">
      <c r="Q16" s="6">
        <f t="shared" si="0"/>
        <v>15</v>
      </c>
      <c r="R16" s="24">
        <f>IF(Q16="","",HLOOKUP(Q16,'Elab-Modi'!$C$5:$AF$36,32))</f>
        <v>4.2000000000000003E-2</v>
      </c>
      <c r="S16" s="31">
        <f>IF($Q16="","",HLOOKUP($Q16,'Elab-Modi'!$C$5:$AF$38,33,FALSE)/100)</f>
        <v>8.0000000000000007E-5</v>
      </c>
      <c r="T16" s="31">
        <f>IF($Q16="","",HLOOKUP($Q16,'Elab-Modi'!$C$5:$AF$38,34,FALSE)/100)</f>
        <v>7.0000000000000007E-5</v>
      </c>
    </row>
    <row r="17" spans="17:20">
      <c r="Q17" s="6" t="str">
        <f t="shared" si="0"/>
        <v/>
      </c>
      <c r="R17" s="24" t="str">
        <f>IF(Q17="","",HLOOKUP(Q17,'Elab-Modi'!$C$5:$AF$36,32))</f>
        <v/>
      </c>
      <c r="S17" s="31" t="str">
        <f>IF($Q17="","",HLOOKUP($Q17,'Elab-Modi'!$C$5:$AF$38,33,FALSE)/100)</f>
        <v/>
      </c>
      <c r="T17" s="31" t="str">
        <f>IF($Q17="","",HLOOKUP($Q17,'Elab-Modi'!$C$5:$AF$38,34,FALSE)/100)</f>
        <v/>
      </c>
    </row>
    <row r="18" spans="17:20">
      <c r="Q18" s="6" t="str">
        <f t="shared" si="0"/>
        <v/>
      </c>
      <c r="R18" s="24" t="str">
        <f>IF(Q18="","",HLOOKUP(Q18,'Elab-Modi'!$C$5:$AF$36,32))</f>
        <v/>
      </c>
      <c r="S18" s="31" t="str">
        <f>IF($Q18="","",HLOOKUP($Q18,'Elab-Modi'!$C$5:$AF$38,33,FALSE)/100)</f>
        <v/>
      </c>
      <c r="T18" s="31" t="str">
        <f>IF($Q18="","",HLOOKUP($Q18,'Elab-Modi'!$C$5:$AF$38,34,FALSE)/100)</f>
        <v/>
      </c>
    </row>
    <row r="19" spans="17:20">
      <c r="Q19" s="6" t="str">
        <f t="shared" si="0"/>
        <v/>
      </c>
      <c r="R19" s="24" t="str">
        <f>IF(Q19="","",HLOOKUP(Q19,'Elab-Modi'!$C$5:$AF$36,32))</f>
        <v/>
      </c>
      <c r="S19" s="31" t="str">
        <f>IF($Q19="","",HLOOKUP($Q19,'Elab-Modi'!$C$5:$AF$38,33,FALSE)/100)</f>
        <v/>
      </c>
      <c r="T19" s="31" t="str">
        <f>IF($Q19="","",HLOOKUP($Q19,'Elab-Modi'!$C$5:$AF$38,34,FALSE)/100)</f>
        <v/>
      </c>
    </row>
    <row r="20" spans="17:20">
      <c r="Q20" s="6" t="str">
        <f t="shared" si="0"/>
        <v/>
      </c>
      <c r="R20" s="24" t="str">
        <f>IF(Q20="","",HLOOKUP(Q20,'Elab-Modi'!$C$5:$AF$36,32))</f>
        <v/>
      </c>
      <c r="S20" s="31" t="str">
        <f>IF($Q20="","",HLOOKUP($Q20,'Elab-Modi'!$C$5:$AF$38,33,FALSE)/100)</f>
        <v/>
      </c>
      <c r="T20" s="31" t="str">
        <f>IF($Q20="","",HLOOKUP($Q20,'Elab-Modi'!$C$5:$AF$38,34,FALSE)/100)</f>
        <v/>
      </c>
    </row>
    <row r="21" spans="17:20">
      <c r="Q21" s="6" t="str">
        <f t="shared" si="0"/>
        <v/>
      </c>
      <c r="R21" s="24" t="str">
        <f>IF(Q21="","",HLOOKUP(Q21,'Elab-Modi'!$C$5:$AF$36,32))</f>
        <v/>
      </c>
      <c r="S21" s="31" t="str">
        <f>IF($Q21="","",HLOOKUP($Q21,'Elab-Modi'!$C$5:$AF$38,33,FALSE)/100)</f>
        <v/>
      </c>
      <c r="T21" s="31" t="str">
        <f>IF($Q21="","",HLOOKUP($Q21,'Elab-Modi'!$C$5:$AF$38,34,FALSE)/100)</f>
        <v/>
      </c>
    </row>
    <row r="22" spans="17:20">
      <c r="Q22" s="6" t="str">
        <f t="shared" si="0"/>
        <v/>
      </c>
      <c r="R22" s="24" t="str">
        <f>IF(Q22="","",HLOOKUP(Q22,'Elab-Modi'!$C$5:$AF$36,32))</f>
        <v/>
      </c>
      <c r="S22" s="31" t="str">
        <f>IF($Q22="","",HLOOKUP($Q22,'Elab-Modi'!$C$5:$AF$38,33,FALSE)/100)</f>
        <v/>
      </c>
      <c r="T22" s="31" t="str">
        <f>IF($Q22="","",HLOOKUP($Q22,'Elab-Modi'!$C$5:$AF$38,34,FALSE)/100)</f>
        <v/>
      </c>
    </row>
    <row r="23" spans="17:20">
      <c r="Q23" s="6" t="str">
        <f t="shared" si="0"/>
        <v/>
      </c>
      <c r="R23" s="24" t="str">
        <f>IF(Q23="","",HLOOKUP(Q23,'Elab-Modi'!$C$5:$AF$36,32))</f>
        <v/>
      </c>
      <c r="S23" s="31" t="str">
        <f>IF($Q23="","",HLOOKUP($Q23,'Elab-Modi'!$C$5:$AF$38,33,FALSE)/100)</f>
        <v/>
      </c>
      <c r="T23" s="31" t="str">
        <f>IF($Q23="","",HLOOKUP($Q23,'Elab-Modi'!$C$5:$AF$38,34,FALSE)/100)</f>
        <v/>
      </c>
    </row>
    <row r="24" spans="17:20">
      <c r="Q24" s="6" t="str">
        <f t="shared" si="0"/>
        <v/>
      </c>
      <c r="R24" s="24" t="str">
        <f>IF(Q24="","",HLOOKUP(Q24,'Elab-Modi'!$C$5:$AF$36,32))</f>
        <v/>
      </c>
      <c r="S24" s="31" t="str">
        <f>IF($Q24="","",HLOOKUP($Q24,'Elab-Modi'!$C$5:$AF$38,33,FALSE)/100)</f>
        <v/>
      </c>
      <c r="T24" s="31" t="str">
        <f>IF($Q24="","",HLOOKUP($Q24,'Elab-Modi'!$C$5:$AF$38,34,FALSE)/100)</f>
        <v/>
      </c>
    </row>
    <row r="25" spans="17:20">
      <c r="Q25" s="6" t="str">
        <f t="shared" si="0"/>
        <v/>
      </c>
      <c r="R25" s="24" t="str">
        <f>IF(Q25="","",HLOOKUP(Q25,'Elab-Modi'!$C$5:$AF$36,32))</f>
        <v/>
      </c>
      <c r="S25" s="31" t="str">
        <f>IF($Q25="","",HLOOKUP($Q25,'Elab-Modi'!$C$5:$AF$38,33,FALSE)/100)</f>
        <v/>
      </c>
      <c r="T25" s="31" t="str">
        <f>IF($Q25="","",HLOOKUP($Q25,'Elab-Modi'!$C$5:$AF$38,34,FALSE)/100)</f>
        <v/>
      </c>
    </row>
    <row r="26" spans="17:20">
      <c r="Q26" s="6" t="str">
        <f t="shared" si="0"/>
        <v/>
      </c>
      <c r="R26" s="24" t="str">
        <f>IF(Q26="","",HLOOKUP(Q26,'Elab-Modi'!$C$5:$AF$36,32))</f>
        <v/>
      </c>
      <c r="S26" s="31" t="str">
        <f>IF($Q26="","",HLOOKUP($Q26,'Elab-Modi'!$C$5:$AF$38,33,FALSE)/100)</f>
        <v/>
      </c>
      <c r="T26" s="31" t="str">
        <f>IF($Q26="","",HLOOKUP($Q26,'Elab-Modi'!$C$5:$AF$38,34,FALSE)/100)</f>
        <v/>
      </c>
    </row>
    <row r="27" spans="17:20">
      <c r="Q27" s="6" t="str">
        <f t="shared" si="0"/>
        <v/>
      </c>
      <c r="R27" s="24" t="str">
        <f>IF(Q27="","",HLOOKUP(Q27,'Elab-Modi'!$C$5:$AF$36,32))</f>
        <v/>
      </c>
      <c r="S27" s="31" t="str">
        <f>IF($Q27="","",HLOOKUP($Q27,'Elab-Modi'!$C$5:$AF$38,33,FALSE)/100)</f>
        <v/>
      </c>
      <c r="T27" s="31" t="str">
        <f>IF($Q27="","",HLOOKUP($Q27,'Elab-Modi'!$C$5:$AF$38,34,FALSE)/100)</f>
        <v/>
      </c>
    </row>
    <row r="28" spans="17:20">
      <c r="Q28" s="6" t="str">
        <f t="shared" si="0"/>
        <v/>
      </c>
      <c r="R28" s="24" t="str">
        <f>IF(Q28="","",HLOOKUP(Q28,'Elab-Modi'!$C$5:$AF$36,32))</f>
        <v/>
      </c>
      <c r="S28" s="31" t="str">
        <f>IF($Q28="","",HLOOKUP($Q28,'Elab-Modi'!$C$5:$AF$38,33,FALSE)/100)</f>
        <v/>
      </c>
      <c r="T28" s="31" t="str">
        <f>IF($Q28="","",HLOOKUP($Q28,'Elab-Modi'!$C$5:$AF$38,34,FALSE)/100)</f>
        <v/>
      </c>
    </row>
    <row r="29" spans="17:20">
      <c r="Q29" s="6" t="str">
        <f t="shared" si="0"/>
        <v/>
      </c>
      <c r="R29" s="24" t="str">
        <f>IF(Q29="","",HLOOKUP(Q29,'Elab-Modi'!$C$5:$AF$36,32))</f>
        <v/>
      </c>
      <c r="S29" s="31" t="str">
        <f>IF($Q29="","",HLOOKUP($Q29,'Elab-Modi'!$C$5:$AF$38,33,FALSE)/100)</f>
        <v/>
      </c>
      <c r="T29" s="31" t="str">
        <f>IF($Q29="","",HLOOKUP($Q29,'Elab-Modi'!$C$5:$AF$38,34,FALSE)/100)</f>
        <v/>
      </c>
    </row>
    <row r="30" spans="17:20">
      <c r="Q30" s="6" t="str">
        <f t="shared" si="0"/>
        <v/>
      </c>
      <c r="R30" s="24" t="str">
        <f>IF(Q30="","",HLOOKUP(Q30,'Elab-Modi'!$C$5:$AF$36,32))</f>
        <v/>
      </c>
      <c r="S30" s="31" t="str">
        <f>IF($Q30="","",HLOOKUP($Q30,'Elab-Modi'!$C$5:$AF$38,33,FALSE)/100)</f>
        <v/>
      </c>
      <c r="T30" s="31" t="str">
        <f>IF($Q30="","",HLOOKUP($Q30,'Elab-Modi'!$C$5:$AF$38,34,FALSE)/100)</f>
        <v/>
      </c>
    </row>
    <row r="31" spans="17:20">
      <c r="Q31" s="6" t="str">
        <f t="shared" si="0"/>
        <v/>
      </c>
      <c r="R31" s="24" t="str">
        <f>IF(Q31="","",HLOOKUP(Q31,'Elab-Modi'!$C$5:$AF$36,32))</f>
        <v/>
      </c>
      <c r="S31" s="31" t="str">
        <f>IF($Q31="","",HLOOKUP($Q31,'Elab-Modi'!$C$5:$AF$38,33,FALSE)/100)</f>
        <v/>
      </c>
      <c r="T31" s="31" t="str">
        <f>IF($Q31="","",HLOOKUP($Q31,'Elab-Modi'!$C$5:$AF$38,34,FALSE)/100)</f>
        <v/>
      </c>
    </row>
    <row r="51" spans="1:13">
      <c r="A51" s="6" t="s">
        <v>21</v>
      </c>
      <c r="B51" s="51">
        <f>SPI!D2</f>
        <v>5</v>
      </c>
      <c r="C51" s="8" t="str">
        <f>IF(B51&gt;10,"ERRORE: Il foglio di calcolo è dimensionato per max 10 piani","")</f>
        <v/>
      </c>
    </row>
    <row r="53" spans="1:13">
      <c r="A53" s="10" t="s">
        <v>22</v>
      </c>
    </row>
    <row r="54" spans="1:13">
      <c r="A54" s="6" t="s">
        <v>23</v>
      </c>
      <c r="B54" s="51">
        <f>Dati!B9</f>
        <v>6</v>
      </c>
      <c r="C54" s="8" t="str">
        <f>IF(B54&gt;12,"ERRORE: previsti max 12 punti",IF(B54&lt;3,"ERRORE: almeno 3 punti",""))</f>
        <v/>
      </c>
    </row>
    <row r="56" spans="1:13">
      <c r="A56" s="7" t="s">
        <v>24</v>
      </c>
    </row>
    <row r="57" spans="1:13">
      <c r="B57" s="1">
        <v>1</v>
      </c>
      <c r="C57" s="1">
        <v>2</v>
      </c>
      <c r="D57" s="1">
        <v>3</v>
      </c>
      <c r="E57" s="1">
        <f t="shared" ref="E57:M57" si="1">IF(COLUMN(E57)-2&lt;$B$54,COLUMN(E57)-1,"")</f>
        <v>4</v>
      </c>
      <c r="F57" s="1">
        <f t="shared" si="1"/>
        <v>5</v>
      </c>
      <c r="G57" s="1">
        <f t="shared" si="1"/>
        <v>6</v>
      </c>
      <c r="H57" s="1" t="str">
        <f t="shared" si="1"/>
        <v/>
      </c>
      <c r="I57" s="1" t="str">
        <f t="shared" si="1"/>
        <v/>
      </c>
      <c r="J57" s="1" t="str">
        <f t="shared" si="1"/>
        <v/>
      </c>
      <c r="K57" s="1" t="str">
        <f t="shared" si="1"/>
        <v/>
      </c>
      <c r="L57" s="1" t="str">
        <f t="shared" si="1"/>
        <v/>
      </c>
      <c r="M57" s="1" t="str">
        <f t="shared" si="1"/>
        <v/>
      </c>
    </row>
    <row r="58" spans="1:13">
      <c r="A58" s="1" t="s">
        <v>7</v>
      </c>
      <c r="B58" s="50">
        <f>Dati!B13</f>
        <v>0</v>
      </c>
      <c r="C58" s="50">
        <f>Dati!C13</f>
        <v>22.8</v>
      </c>
      <c r="D58" s="50">
        <f>Dati!D13</f>
        <v>22.8</v>
      </c>
      <c r="E58" s="50">
        <f>Dati!E13</f>
        <v>8.8000000000000007</v>
      </c>
      <c r="F58" s="50">
        <f>Dati!F13</f>
        <v>8.8000000000000007</v>
      </c>
      <c r="G58" s="50">
        <f>Dati!G13</f>
        <v>0</v>
      </c>
      <c r="H58" s="50">
        <f>Dati!H13</f>
        <v>0</v>
      </c>
      <c r="I58" s="50">
        <f>Dati!I13</f>
        <v>0</v>
      </c>
      <c r="J58" s="50">
        <f>Dati!J13</f>
        <v>0</v>
      </c>
      <c r="K58" s="50">
        <f>Dati!K13</f>
        <v>0</v>
      </c>
      <c r="L58" s="50">
        <f>Dati!L13</f>
        <v>0</v>
      </c>
      <c r="M58" s="50">
        <f>Dati!M13</f>
        <v>0</v>
      </c>
    </row>
    <row r="59" spans="1:13">
      <c r="A59" s="1" t="s">
        <v>8</v>
      </c>
      <c r="B59" s="50">
        <f>Dati!B14</f>
        <v>0</v>
      </c>
      <c r="C59" s="50">
        <f>Dati!C14</f>
        <v>0</v>
      </c>
      <c r="D59" s="50">
        <f>Dati!D14</f>
        <v>8.9</v>
      </c>
      <c r="E59" s="50">
        <f>Dati!E14</f>
        <v>8.9</v>
      </c>
      <c r="F59" s="50">
        <f>Dati!F14</f>
        <v>16</v>
      </c>
      <c r="G59" s="50">
        <f>Dati!G14</f>
        <v>16</v>
      </c>
      <c r="H59" s="50">
        <f>Dati!H14</f>
        <v>0</v>
      </c>
      <c r="I59" s="50">
        <f>Dati!I14</f>
        <v>0</v>
      </c>
      <c r="J59" s="50">
        <f>Dati!J14</f>
        <v>0</v>
      </c>
      <c r="K59" s="50">
        <f>Dati!K14</f>
        <v>0</v>
      </c>
      <c r="L59" s="50">
        <f>Dati!L14</f>
        <v>0</v>
      </c>
      <c r="M59" s="50">
        <f>Dati!M14</f>
        <v>0</v>
      </c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Z85"/>
  <sheetViews>
    <sheetView workbookViewId="0">
      <selection activeCell="E1" sqref="E1"/>
    </sheetView>
  </sheetViews>
  <sheetFormatPr defaultColWidth="9" defaultRowHeight="12.75"/>
  <cols>
    <col min="1" max="16384" width="9" style="1"/>
  </cols>
  <sheetData>
    <row r="1" spans="1:9">
      <c r="A1" s="25" t="s">
        <v>110</v>
      </c>
      <c r="D1" s="6" t="s">
        <v>9</v>
      </c>
      <c r="E1" s="27">
        <v>0.5</v>
      </c>
      <c r="H1" s="39" t="s">
        <v>137</v>
      </c>
      <c r="I1" s="27">
        <v>3.5</v>
      </c>
    </row>
    <row r="40" spans="1:26">
      <c r="A40" s="7" t="s">
        <v>111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  <c r="P41" s="6" t="s">
        <v>112</v>
      </c>
      <c r="Q41" s="6" t="s">
        <v>7</v>
      </c>
      <c r="R41" s="6" t="s">
        <v>8</v>
      </c>
      <c r="T41" s="6" t="s">
        <v>112</v>
      </c>
      <c r="U41" s="6" t="s">
        <v>7</v>
      </c>
      <c r="V41" s="6" t="s">
        <v>8</v>
      </c>
      <c r="X41" s="6" t="s">
        <v>112</v>
      </c>
      <c r="Y41" s="6" t="s">
        <v>7</v>
      </c>
      <c r="Z41" s="6" t="s">
        <v>8</v>
      </c>
    </row>
    <row r="42" spans="1:26">
      <c r="A42" s="3">
        <f>E42</f>
        <v>32.775500000000001</v>
      </c>
      <c r="B42" s="3">
        <f>MIN(F42:F62,J42:J62,N42:N62,R42:R62,V42:V62,Z42:Z62)</f>
        <v>0.15</v>
      </c>
      <c r="D42" s="3">
        <f>IF(Telai!F33="","",ABS(Telai!F33))</f>
        <v>12.951000000000001</v>
      </c>
      <c r="E42" s="3">
        <f t="shared" ref="E42:E62" si="0">IF(D42="",E41,$A$43+D42*$E$1)</f>
        <v>32.775500000000001</v>
      </c>
      <c r="F42" s="3">
        <f>IF(D42="",F41,Telai!D33)</f>
        <v>0.15</v>
      </c>
      <c r="H42" s="3">
        <f>IF(Telai!S33="","",ABS(Telai!S33))</f>
        <v>11.58</v>
      </c>
      <c r="I42" s="3">
        <f t="shared" ref="I42:I62" si="1">IF(H42="",I41,$A$43+H42*$E$1)</f>
        <v>32.090000000000003</v>
      </c>
      <c r="J42" s="3">
        <f>IF(H42="",J41,Telai!Q33)</f>
        <v>0.15</v>
      </c>
      <c r="L42" s="3">
        <f>IF(Telai!AF33="","",ABS(Telai!AF33))</f>
        <v>9.4079999999999995</v>
      </c>
      <c r="M42" s="3">
        <f t="shared" ref="M42:M62" si="2">IF(L42="",M41,$A$43+L42*$E$1)</f>
        <v>31.004000000000001</v>
      </c>
      <c r="N42" s="3">
        <f>IF(L42="",N41,Telai!AD33)</f>
        <v>0.15</v>
      </c>
      <c r="P42" s="3">
        <f>IF(Telai!AS33="","",ABS(Telai!AS33))</f>
        <v>6.4770000000000003</v>
      </c>
      <c r="Q42" s="3">
        <f t="shared" ref="Q42:Q62" si="3">IF(P42="",Q41,$A$43+P42*$E$1)</f>
        <v>29.538499999999999</v>
      </c>
      <c r="R42" s="3">
        <f>IF(P42="",R41,Telai!AQ33)</f>
        <v>0.15</v>
      </c>
      <c r="T42" s="3">
        <f>IF(Telai!BF33="","",ABS(Telai!BF33))</f>
        <v>3.0720000000000001</v>
      </c>
      <c r="U42" s="3">
        <f t="shared" ref="U42:U62" si="4">IF(T42="",U41,$A$43+T42*$E$1)</f>
        <v>27.836000000000002</v>
      </c>
      <c r="V42" s="3">
        <f>IF(T42="",V41,Telai!BD33)</f>
        <v>0.15</v>
      </c>
      <c r="X42" s="3">
        <f>IF(Telai!BS33="","",ABS(Telai!BS33))</f>
        <v>3.0720000000000001</v>
      </c>
      <c r="Y42" s="3">
        <f t="shared" ref="Y42:Y62" si="5">IF(X42="",Y41,$A$43+X42*$E$1)</f>
        <v>27.836000000000002</v>
      </c>
      <c r="Z42" s="3">
        <f>IF(X42="",Z41,Telai!BQ33)</f>
        <v>0.15</v>
      </c>
    </row>
    <row r="43" spans="1:26">
      <c r="A43" s="3">
        <f>MAX(Dati!B13:M13)+I1</f>
        <v>26.3</v>
      </c>
      <c r="B43" s="3">
        <f>B42</f>
        <v>0.15</v>
      </c>
      <c r="D43" s="3">
        <f>IF(Telai!F34="","",ABS(Telai!F34))</f>
        <v>12.865499999999999</v>
      </c>
      <c r="E43" s="3">
        <f t="shared" si="0"/>
        <v>32.732750000000003</v>
      </c>
      <c r="F43" s="3">
        <f>IF(D43="",F42,Telai!D34)</f>
        <v>2.35</v>
      </c>
      <c r="H43" s="3">
        <f>IF(Telai!S34="","",ABS(Telai!S34))</f>
        <v>11.4915</v>
      </c>
      <c r="I43" s="3">
        <f t="shared" si="1"/>
        <v>32.045749999999998</v>
      </c>
      <c r="J43" s="3">
        <f>IF(H43="",J42,Telai!Q34)</f>
        <v>2.35</v>
      </c>
      <c r="L43" s="3">
        <f>IF(Telai!AF34="","",ABS(Telai!AF34))</f>
        <v>9.3259999999999987</v>
      </c>
      <c r="M43" s="3">
        <f t="shared" si="2"/>
        <v>30.963000000000001</v>
      </c>
      <c r="N43" s="3">
        <f>IF(L43="",N42,Telai!AD34)</f>
        <v>2.35</v>
      </c>
      <c r="P43" s="3">
        <f>IF(Telai!AS34="","",ABS(Telai!AS34))</f>
        <v>6.4109999999999996</v>
      </c>
      <c r="Q43" s="3">
        <f t="shared" si="3"/>
        <v>29.505500000000001</v>
      </c>
      <c r="R43" s="3">
        <f>IF(P43="",R42,Telai!AQ34)</f>
        <v>2.35</v>
      </c>
      <c r="T43" s="3">
        <f>IF(Telai!BF34="","",ABS(Telai!BF34))</f>
        <v>3.0329999999999999</v>
      </c>
      <c r="U43" s="3">
        <f t="shared" si="4"/>
        <v>27.816500000000001</v>
      </c>
      <c r="V43" s="3">
        <f>IF(T43="",V42,Telai!BD34)</f>
        <v>2.35</v>
      </c>
      <c r="X43" s="3">
        <f>IF(Telai!BS34="","",ABS(Telai!BS34))</f>
        <v>3.0329999999999999</v>
      </c>
      <c r="Y43" s="3">
        <f t="shared" si="5"/>
        <v>27.816500000000001</v>
      </c>
      <c r="Z43" s="3">
        <f>IF(X43="",Z42,Telai!BQ34)</f>
        <v>2.35</v>
      </c>
    </row>
    <row r="44" spans="1:26">
      <c r="A44" s="1">
        <f>$A$43</f>
        <v>26.3</v>
      </c>
      <c r="B44" s="3">
        <f>B45</f>
        <v>15.85</v>
      </c>
      <c r="D44" s="3">
        <f>IF(Telai!F35="","",ABS(Telai!F35))</f>
        <v>12.78</v>
      </c>
      <c r="E44" s="3">
        <f t="shared" si="0"/>
        <v>32.69</v>
      </c>
      <c r="F44" s="3">
        <f>IF(D44="",F43,Telai!D35)</f>
        <v>4.55</v>
      </c>
      <c r="H44" s="3">
        <f>IF(Telai!S35="","",ABS(Telai!S35))</f>
        <v>11.403</v>
      </c>
      <c r="I44" s="3">
        <f t="shared" si="1"/>
        <v>32.0015</v>
      </c>
      <c r="J44" s="3">
        <f>IF(H44="",J43,Telai!Q35)</f>
        <v>4.55</v>
      </c>
      <c r="L44" s="3">
        <f>IF(Telai!AF35="","",ABS(Telai!AF35))</f>
        <v>9.2439999999999998</v>
      </c>
      <c r="M44" s="3">
        <f t="shared" si="2"/>
        <v>30.922000000000001</v>
      </c>
      <c r="N44" s="3">
        <f>IF(L44="",N43,Telai!AD35)</f>
        <v>4.55</v>
      </c>
      <c r="P44" s="3">
        <f>IF(Telai!AS35="","",ABS(Telai!AS35))</f>
        <v>6.3449999999999998</v>
      </c>
      <c r="Q44" s="3">
        <f t="shared" si="3"/>
        <v>29.4725</v>
      </c>
      <c r="R44" s="3">
        <f>IF(P44="",R43,Telai!AQ35)</f>
        <v>4.55</v>
      </c>
      <c r="T44" s="3">
        <f>IF(Telai!BF35="","",ABS(Telai!BF35))</f>
        <v>2.9940000000000002</v>
      </c>
      <c r="U44" s="3">
        <f t="shared" si="4"/>
        <v>27.797000000000001</v>
      </c>
      <c r="V44" s="3">
        <f>IF(T44="",V43,Telai!BD35)</f>
        <v>4.55</v>
      </c>
      <c r="X44" s="3">
        <f>IF(Telai!BS35="","",ABS(Telai!BS35))</f>
        <v>2.9940000000000002</v>
      </c>
      <c r="Y44" s="3">
        <f t="shared" si="5"/>
        <v>27.797000000000001</v>
      </c>
      <c r="Z44" s="3">
        <f>IF(X44="",Z43,Telai!BQ35)</f>
        <v>4.55</v>
      </c>
    </row>
    <row r="45" spans="1:26">
      <c r="A45" s="3">
        <f>E62</f>
        <v>32.502000000000002</v>
      </c>
      <c r="B45" s="3">
        <f>MAX(F42:F62,J42:J62,N42:N62,R42:R62,V42:V62,Z42:Z62)</f>
        <v>15.85</v>
      </c>
      <c r="D45" s="3">
        <f>IF(Telai!F36="","",ABS(Telai!F36))</f>
        <v>12.704499999999999</v>
      </c>
      <c r="E45" s="3">
        <f t="shared" si="0"/>
        <v>32.652250000000002</v>
      </c>
      <c r="F45" s="3">
        <f>IF(D45="",F44,Telai!D36)</f>
        <v>6.65</v>
      </c>
      <c r="H45" s="3">
        <f>IF(Telai!S36="","",ABS(Telai!S36))</f>
        <v>11.324</v>
      </c>
      <c r="I45" s="3">
        <f t="shared" si="1"/>
        <v>31.962</v>
      </c>
      <c r="J45" s="3">
        <f>IF(H45="",J44,Telai!Q36)</f>
        <v>6.65</v>
      </c>
      <c r="L45" s="3">
        <f>IF(Telai!AF36="","",ABS(Telai!AF36))</f>
        <v>9.17</v>
      </c>
      <c r="M45" s="3">
        <f t="shared" si="2"/>
        <v>30.885000000000002</v>
      </c>
      <c r="N45" s="3">
        <f>IF(L45="",N44,Telai!AD36)</f>
        <v>6.65</v>
      </c>
      <c r="P45" s="3">
        <f>IF(Telai!AS36="","",ABS(Telai!AS36))</f>
        <v>6.2849999999999993</v>
      </c>
      <c r="Q45" s="3">
        <f t="shared" si="3"/>
        <v>29.442499999999999</v>
      </c>
      <c r="R45" s="3">
        <f>IF(P45="",R44,Telai!AQ36)</f>
        <v>6.65</v>
      </c>
      <c r="T45" s="3">
        <f>IF(Telai!BF36="","",ABS(Telai!BF36))</f>
        <v>2.9580000000000002</v>
      </c>
      <c r="U45" s="3">
        <f t="shared" si="4"/>
        <v>27.779</v>
      </c>
      <c r="V45" s="3">
        <f>IF(T45="",V44,Telai!BD36)</f>
        <v>6.65</v>
      </c>
      <c r="X45" s="3">
        <f>IF(Telai!BS36="","",ABS(Telai!BS36))</f>
        <v>2.9580000000000002</v>
      </c>
      <c r="Y45" s="3">
        <f t="shared" si="5"/>
        <v>27.779</v>
      </c>
      <c r="Z45" s="3">
        <f>IF(X45="",Z44,Telai!BQ36)</f>
        <v>6.65</v>
      </c>
    </row>
    <row r="46" spans="1:26">
      <c r="D46" s="3">
        <f>IF(Telai!F37="","",ABS(Telai!F37))</f>
        <v>12.629</v>
      </c>
      <c r="E46" s="3">
        <f t="shared" si="0"/>
        <v>32.6145</v>
      </c>
      <c r="F46" s="3">
        <f>IF(D46="",F45,Telai!D37)</f>
        <v>8.75</v>
      </c>
      <c r="H46" s="3">
        <f>IF(Telai!S37="","",ABS(Telai!S37))</f>
        <v>11.244999999999999</v>
      </c>
      <c r="I46" s="3">
        <f t="shared" si="1"/>
        <v>31.922499999999999</v>
      </c>
      <c r="J46" s="3">
        <f>IF(H46="",J45,Telai!Q37)</f>
        <v>8.75</v>
      </c>
      <c r="L46" s="3">
        <f>IF(Telai!AF37="","",ABS(Telai!AF37))</f>
        <v>9.0960000000000001</v>
      </c>
      <c r="M46" s="3">
        <f t="shared" si="2"/>
        <v>30.847999999999999</v>
      </c>
      <c r="N46" s="3">
        <f>IF(L46="",N45,Telai!AD37)</f>
        <v>8.75</v>
      </c>
      <c r="P46" s="3">
        <f>IF(Telai!AS37="","",ABS(Telai!AS37))</f>
        <v>6.2249999999999996</v>
      </c>
      <c r="Q46" s="3">
        <f t="shared" si="3"/>
        <v>29.412500000000001</v>
      </c>
      <c r="R46" s="3">
        <f>IF(P46="",R45,Telai!AQ37)</f>
        <v>8.75</v>
      </c>
      <c r="T46" s="3">
        <f>IF(Telai!BF37="","",ABS(Telai!BF37))</f>
        <v>2.9220000000000002</v>
      </c>
      <c r="U46" s="3">
        <f t="shared" si="4"/>
        <v>27.760999999999999</v>
      </c>
      <c r="V46" s="3">
        <f>IF(T46="",V45,Telai!BD37)</f>
        <v>8.75</v>
      </c>
      <c r="X46" s="3">
        <f>IF(Telai!BS37="","",ABS(Telai!BS37))</f>
        <v>2.9220000000000002</v>
      </c>
      <c r="Y46" s="3">
        <f t="shared" si="5"/>
        <v>27.760999999999999</v>
      </c>
      <c r="Z46" s="3">
        <f>IF(X46="",Z45,Telai!BQ37)</f>
        <v>8.75</v>
      </c>
    </row>
    <row r="47" spans="1:26">
      <c r="D47" s="3">
        <f>IF(Telai!F38="","",ABS(Telai!F38))</f>
        <v>12.616847003154573</v>
      </c>
      <c r="E47" s="3">
        <f t="shared" si="0"/>
        <v>32.608423501577285</v>
      </c>
      <c r="F47" s="3">
        <f>IF(D47="",F46,Telai!D38)</f>
        <v>9.1198738170346996</v>
      </c>
      <c r="H47" s="3">
        <f>IF(Telai!S38="","",ABS(Telai!S38))</f>
        <v>11.231895899053628</v>
      </c>
      <c r="I47" s="3">
        <f t="shared" si="1"/>
        <v>31.915947949526814</v>
      </c>
      <c r="J47" s="3">
        <f>IF(H47="",J46,Telai!Q38)</f>
        <v>9.1198738170346996</v>
      </c>
      <c r="L47" s="3">
        <f>IF(Telai!AF38="","",ABS(Telai!AF38))</f>
        <v>9.0836356466876964</v>
      </c>
      <c r="M47" s="3">
        <f t="shared" si="2"/>
        <v>30.841817823343849</v>
      </c>
      <c r="N47" s="3">
        <f>IF(L47="",N46,Telai!AD38)</f>
        <v>9.1198738170346996</v>
      </c>
      <c r="P47" s="3">
        <f>IF(Telai!AS38="","",ABS(Telai!AS38))</f>
        <v>6.2149605678233435</v>
      </c>
      <c r="Q47" s="3">
        <f t="shared" si="3"/>
        <v>29.407480283911674</v>
      </c>
      <c r="R47" s="3">
        <f>IF(P47="",R46,Telai!AQ38)</f>
        <v>9.1198738170346996</v>
      </c>
      <c r="T47" s="3">
        <f>IF(Telai!BF38="","",ABS(Telai!BF38))</f>
        <v>2.9159763406940065</v>
      </c>
      <c r="U47" s="3">
        <f t="shared" si="4"/>
        <v>27.757988170347005</v>
      </c>
      <c r="V47" s="3">
        <f>IF(T47="",V46,Telai!BD38)</f>
        <v>9.1198738170346996</v>
      </c>
      <c r="X47" s="3">
        <f>IF(Telai!BS38="","",ABS(Telai!BS38))</f>
        <v>2.9159763406940065</v>
      </c>
      <c r="Y47" s="3">
        <f t="shared" si="5"/>
        <v>27.757988170347005</v>
      </c>
      <c r="Z47" s="3">
        <f>IF(X47="",Z46,Telai!BQ38)</f>
        <v>9.1198738170346996</v>
      </c>
    </row>
    <row r="48" spans="1:26">
      <c r="D48" s="3">
        <f>IF(Telai!F39="","",ABS(Telai!F39))</f>
        <v>12.513999999999999</v>
      </c>
      <c r="E48" s="3">
        <f t="shared" si="0"/>
        <v>32.557000000000002</v>
      </c>
      <c r="F48" s="3">
        <f>IF(D48="",F47,Telai!D39)</f>
        <v>12.25</v>
      </c>
      <c r="H48" s="3">
        <f>IF(Telai!S39="","",ABS(Telai!S39))</f>
        <v>11.121</v>
      </c>
      <c r="I48" s="3">
        <f t="shared" si="1"/>
        <v>31.860500000000002</v>
      </c>
      <c r="J48" s="3">
        <f>IF(H48="",J47,Telai!Q39)</f>
        <v>12.25</v>
      </c>
      <c r="L48" s="3">
        <f>IF(Telai!AF39="","",ABS(Telai!AF39))</f>
        <v>8.9789999999999992</v>
      </c>
      <c r="M48" s="3">
        <f t="shared" si="2"/>
        <v>30.7895</v>
      </c>
      <c r="N48" s="3">
        <f>IF(L48="",N47,Telai!AD39)</f>
        <v>12.25</v>
      </c>
      <c r="P48" s="3">
        <f>IF(Telai!AS39="","",ABS(Telai!AS39))</f>
        <v>6.13</v>
      </c>
      <c r="Q48" s="3">
        <f t="shared" si="3"/>
        <v>29.365000000000002</v>
      </c>
      <c r="R48" s="3">
        <f>IF(P48="",R47,Telai!AQ39)</f>
        <v>12.25</v>
      </c>
      <c r="T48" s="3">
        <f>IF(Telai!BF39="","",ABS(Telai!BF39))</f>
        <v>2.8650000000000002</v>
      </c>
      <c r="U48" s="3">
        <f t="shared" si="4"/>
        <v>27.732500000000002</v>
      </c>
      <c r="V48" s="3">
        <f>IF(T48="",V47,Telai!BD39)</f>
        <v>12.25</v>
      </c>
      <c r="X48" s="3">
        <f>IF(Telai!BS39="","",ABS(Telai!BS39))</f>
        <v>2.8650000000000002</v>
      </c>
      <c r="Y48" s="3">
        <f t="shared" si="5"/>
        <v>27.732500000000002</v>
      </c>
      <c r="Z48" s="3">
        <f>IF(X48="",Z47,Telai!BQ39)</f>
        <v>12.25</v>
      </c>
    </row>
    <row r="49" spans="1:26">
      <c r="D49" s="3">
        <f>IF(Telai!F40="","",ABS(Telai!F40))</f>
        <v>12.459</v>
      </c>
      <c r="E49" s="3">
        <f t="shared" si="0"/>
        <v>32.529499999999999</v>
      </c>
      <c r="F49" s="3">
        <f>IF(D49="",F48,Telai!D40)</f>
        <v>14.05</v>
      </c>
      <c r="H49" s="3">
        <f>IF(Telai!S40="","",ABS(Telai!S40))</f>
        <v>11.061999999999999</v>
      </c>
      <c r="I49" s="3">
        <f t="shared" si="1"/>
        <v>31.831</v>
      </c>
      <c r="J49" s="3">
        <f>IF(H49="",J48,Telai!Q40)</f>
        <v>14.05</v>
      </c>
      <c r="L49" s="3">
        <f>IF(Telai!AF40="","",ABS(Telai!AF40))</f>
        <v>8.9219999999999988</v>
      </c>
      <c r="M49" s="3">
        <f t="shared" si="2"/>
        <v>30.760999999999999</v>
      </c>
      <c r="N49" s="3">
        <f>IF(L49="",N48,Telai!AD40)</f>
        <v>14.05</v>
      </c>
      <c r="P49" s="3">
        <f>IF(Telai!AS40="","",ABS(Telai!AS40))</f>
        <v>6.0829999999999993</v>
      </c>
      <c r="Q49" s="3">
        <f t="shared" si="3"/>
        <v>29.3415</v>
      </c>
      <c r="R49" s="3">
        <f>IF(P49="",R48,Telai!AQ40)</f>
        <v>14.05</v>
      </c>
      <c r="T49" s="3">
        <f>IF(Telai!BF40="","",ABS(Telai!BF40))</f>
        <v>2.8359999999999999</v>
      </c>
      <c r="U49" s="3">
        <f t="shared" si="4"/>
        <v>27.718</v>
      </c>
      <c r="V49" s="3">
        <f>IF(T49="",V48,Telai!BD40)</f>
        <v>14.05</v>
      </c>
      <c r="X49" s="3">
        <f>IF(Telai!BS40="","",ABS(Telai!BS40))</f>
        <v>2.8359999999999999</v>
      </c>
      <c r="Y49" s="3">
        <f t="shared" si="5"/>
        <v>27.718</v>
      </c>
      <c r="Z49" s="3">
        <f>IF(X49="",Z48,Telai!BQ40)</f>
        <v>14.05</v>
      </c>
    </row>
    <row r="50" spans="1:26">
      <c r="D50" s="3">
        <f>IF(Telai!F41="","",ABS(Telai!F41))</f>
        <v>12.404</v>
      </c>
      <c r="E50" s="3">
        <f t="shared" si="0"/>
        <v>32.502000000000002</v>
      </c>
      <c r="F50" s="3">
        <f>IF(D50="",F49,Telai!D41)</f>
        <v>15.85</v>
      </c>
      <c r="H50" s="3">
        <f>IF(Telai!S41="","",ABS(Telai!S41))</f>
        <v>11.003</v>
      </c>
      <c r="I50" s="3">
        <f t="shared" si="1"/>
        <v>31.801500000000001</v>
      </c>
      <c r="J50" s="3">
        <f>IF(H50="",J49,Telai!Q41)</f>
        <v>15.85</v>
      </c>
      <c r="L50" s="3">
        <f>IF(Telai!AF41="","",ABS(Telai!AF41))</f>
        <v>8.8650000000000002</v>
      </c>
      <c r="M50" s="3">
        <f t="shared" si="2"/>
        <v>30.732500000000002</v>
      </c>
      <c r="N50" s="3">
        <f>IF(L50="",N49,Telai!AD41)</f>
        <v>15.85</v>
      </c>
      <c r="P50" s="3">
        <f>IF(Telai!AS41="","",ABS(Telai!AS41))</f>
        <v>6.0359999999999996</v>
      </c>
      <c r="Q50" s="3">
        <f t="shared" si="3"/>
        <v>29.318000000000001</v>
      </c>
      <c r="R50" s="3">
        <f>IF(P50="",R49,Telai!AQ41)</f>
        <v>15.85</v>
      </c>
      <c r="T50" s="3">
        <f>IF(Telai!BF41="","",ABS(Telai!BF41))</f>
        <v>2.8069999999999999</v>
      </c>
      <c r="U50" s="3">
        <f t="shared" si="4"/>
        <v>27.703500000000002</v>
      </c>
      <c r="V50" s="3">
        <f>IF(T50="",V49,Telai!BD41)</f>
        <v>15.85</v>
      </c>
      <c r="X50" s="3">
        <f>IF(Telai!BS41="","",ABS(Telai!BS41))</f>
        <v>2.8069999999999999</v>
      </c>
      <c r="Y50" s="3">
        <f t="shared" si="5"/>
        <v>27.703500000000002</v>
      </c>
      <c r="Z50" s="3">
        <f>IF(X50="",Z49,Telai!BQ41)</f>
        <v>15.85</v>
      </c>
    </row>
    <row r="51" spans="1:26">
      <c r="D51" s="3" t="str">
        <f>IF(Telai!F42="","",ABS(Telai!F42))</f>
        <v/>
      </c>
      <c r="E51" s="3">
        <f t="shared" si="0"/>
        <v>32.502000000000002</v>
      </c>
      <c r="F51" s="3">
        <f>IF(D51="",F50,Telai!D42)</f>
        <v>15.85</v>
      </c>
      <c r="H51" s="3" t="str">
        <f>IF(Telai!S42="","",ABS(Telai!S42))</f>
        <v/>
      </c>
      <c r="I51" s="3">
        <f t="shared" si="1"/>
        <v>31.801500000000001</v>
      </c>
      <c r="J51" s="3">
        <f>IF(H51="",J50,Telai!Q42)</f>
        <v>15.85</v>
      </c>
      <c r="L51" s="3" t="str">
        <f>IF(Telai!AF42="","",ABS(Telai!AF42))</f>
        <v/>
      </c>
      <c r="M51" s="3">
        <f t="shared" si="2"/>
        <v>30.732500000000002</v>
      </c>
      <c r="N51" s="3">
        <f>IF(L51="",N50,Telai!AD42)</f>
        <v>15.85</v>
      </c>
      <c r="P51" s="3" t="str">
        <f>IF(Telai!AS42="","",ABS(Telai!AS42))</f>
        <v/>
      </c>
      <c r="Q51" s="3">
        <f t="shared" si="3"/>
        <v>29.318000000000001</v>
      </c>
      <c r="R51" s="3">
        <f>IF(P51="",R50,Telai!AQ42)</f>
        <v>15.85</v>
      </c>
      <c r="T51" s="3" t="str">
        <f>IF(Telai!BF42="","",ABS(Telai!BF42))</f>
        <v/>
      </c>
      <c r="U51" s="3">
        <f t="shared" si="4"/>
        <v>27.703500000000002</v>
      </c>
      <c r="V51" s="3">
        <f>IF(T51="",V50,Telai!BD42)</f>
        <v>15.85</v>
      </c>
      <c r="X51" s="3" t="str">
        <f>IF(Telai!BS42="","",ABS(Telai!BS42))</f>
        <v/>
      </c>
      <c r="Y51" s="3">
        <f t="shared" si="5"/>
        <v>27.703500000000002</v>
      </c>
      <c r="Z51" s="3">
        <f>IF(X51="",Z50,Telai!BQ42)</f>
        <v>15.85</v>
      </c>
    </row>
    <row r="52" spans="1:26">
      <c r="D52" s="3" t="str">
        <f>IF(Telai!F43="","",ABS(Telai!F43))</f>
        <v/>
      </c>
      <c r="E52" s="3">
        <f t="shared" si="0"/>
        <v>32.502000000000002</v>
      </c>
      <c r="F52" s="3">
        <f>IF(D52="",F51,Telai!D43)</f>
        <v>15.85</v>
      </c>
      <c r="H52" s="3" t="str">
        <f>IF(Telai!S43="","",ABS(Telai!S43))</f>
        <v/>
      </c>
      <c r="I52" s="3">
        <f t="shared" si="1"/>
        <v>31.801500000000001</v>
      </c>
      <c r="J52" s="3">
        <f>IF(H52="",J51,Telai!Q43)</f>
        <v>15.85</v>
      </c>
      <c r="L52" s="3" t="str">
        <f>IF(Telai!AF43="","",ABS(Telai!AF43))</f>
        <v/>
      </c>
      <c r="M52" s="3">
        <f t="shared" si="2"/>
        <v>30.732500000000002</v>
      </c>
      <c r="N52" s="3">
        <f>IF(L52="",N51,Telai!AD43)</f>
        <v>15.85</v>
      </c>
      <c r="P52" s="3" t="str">
        <f>IF(Telai!AS43="","",ABS(Telai!AS43))</f>
        <v/>
      </c>
      <c r="Q52" s="3">
        <f t="shared" si="3"/>
        <v>29.318000000000001</v>
      </c>
      <c r="R52" s="3">
        <f>IF(P52="",R51,Telai!AQ43)</f>
        <v>15.85</v>
      </c>
      <c r="T52" s="3" t="str">
        <f>IF(Telai!BF43="","",ABS(Telai!BF43))</f>
        <v/>
      </c>
      <c r="U52" s="3">
        <f t="shared" si="4"/>
        <v>27.703500000000002</v>
      </c>
      <c r="V52" s="3">
        <f>IF(T52="",V51,Telai!BD43)</f>
        <v>15.85</v>
      </c>
      <c r="X52" s="3" t="str">
        <f>IF(Telai!BS43="","",ABS(Telai!BS43))</f>
        <v/>
      </c>
      <c r="Y52" s="3">
        <f t="shared" si="5"/>
        <v>27.703500000000002</v>
      </c>
      <c r="Z52" s="3">
        <f>IF(X52="",Z51,Telai!BQ43)</f>
        <v>15.85</v>
      </c>
    </row>
    <row r="53" spans="1:26">
      <c r="D53" s="3" t="str">
        <f>IF(Telai!F44="","",ABS(Telai!F44))</f>
        <v/>
      </c>
      <c r="E53" s="3">
        <f t="shared" si="0"/>
        <v>32.502000000000002</v>
      </c>
      <c r="F53" s="3">
        <f>IF(D53="",F52,Telai!D44)</f>
        <v>15.85</v>
      </c>
      <c r="H53" s="3" t="str">
        <f>IF(Telai!S44="","",ABS(Telai!S44))</f>
        <v/>
      </c>
      <c r="I53" s="3">
        <f t="shared" si="1"/>
        <v>31.801500000000001</v>
      </c>
      <c r="J53" s="3">
        <f>IF(H53="",J52,Telai!Q44)</f>
        <v>15.85</v>
      </c>
      <c r="L53" s="3" t="str">
        <f>IF(Telai!AF44="","",ABS(Telai!AF44))</f>
        <v/>
      </c>
      <c r="M53" s="3">
        <f t="shared" si="2"/>
        <v>30.732500000000002</v>
      </c>
      <c r="N53" s="3">
        <f>IF(L53="",N52,Telai!AD44)</f>
        <v>15.85</v>
      </c>
      <c r="P53" s="3" t="str">
        <f>IF(Telai!AS44="","",ABS(Telai!AS44))</f>
        <v/>
      </c>
      <c r="Q53" s="3">
        <f t="shared" si="3"/>
        <v>29.318000000000001</v>
      </c>
      <c r="R53" s="3">
        <f>IF(P53="",R52,Telai!AQ44)</f>
        <v>15.85</v>
      </c>
      <c r="T53" s="3" t="str">
        <f>IF(Telai!BF44="","",ABS(Telai!BF44))</f>
        <v/>
      </c>
      <c r="U53" s="3">
        <f t="shared" si="4"/>
        <v>27.703500000000002</v>
      </c>
      <c r="V53" s="3">
        <f>IF(T53="",V52,Telai!BD44)</f>
        <v>15.85</v>
      </c>
      <c r="X53" s="3" t="str">
        <f>IF(Telai!BS44="","",ABS(Telai!BS44))</f>
        <v/>
      </c>
      <c r="Y53" s="3">
        <f t="shared" si="5"/>
        <v>27.703500000000002</v>
      </c>
      <c r="Z53" s="3">
        <f>IF(X53="",Z52,Telai!BQ44)</f>
        <v>15.85</v>
      </c>
    </row>
    <row r="54" spans="1:26">
      <c r="D54" s="3" t="str">
        <f>IF(Telai!F45="","",ABS(Telai!F45))</f>
        <v/>
      </c>
      <c r="E54" s="3">
        <f t="shared" si="0"/>
        <v>32.502000000000002</v>
      </c>
      <c r="F54" s="3">
        <f>IF(D54="",F53,Telai!D45)</f>
        <v>15.85</v>
      </c>
      <c r="H54" s="3" t="str">
        <f>IF(Telai!S45="","",ABS(Telai!S45))</f>
        <v/>
      </c>
      <c r="I54" s="3">
        <f t="shared" si="1"/>
        <v>31.801500000000001</v>
      </c>
      <c r="J54" s="3">
        <f>IF(H54="",J53,Telai!Q45)</f>
        <v>15.85</v>
      </c>
      <c r="L54" s="3" t="str">
        <f>IF(Telai!AF45="","",ABS(Telai!AF45))</f>
        <v/>
      </c>
      <c r="M54" s="3">
        <f t="shared" si="2"/>
        <v>30.732500000000002</v>
      </c>
      <c r="N54" s="3">
        <f>IF(L54="",N53,Telai!AD45)</f>
        <v>15.85</v>
      </c>
      <c r="P54" s="3" t="str">
        <f>IF(Telai!AS45="","",ABS(Telai!AS45))</f>
        <v/>
      </c>
      <c r="Q54" s="3">
        <f t="shared" si="3"/>
        <v>29.318000000000001</v>
      </c>
      <c r="R54" s="3">
        <f>IF(P54="",R53,Telai!AQ45)</f>
        <v>15.85</v>
      </c>
      <c r="T54" s="3" t="str">
        <f>IF(Telai!BF45="","",ABS(Telai!BF45))</f>
        <v/>
      </c>
      <c r="U54" s="3">
        <f t="shared" si="4"/>
        <v>27.703500000000002</v>
      </c>
      <c r="V54" s="3">
        <f>IF(T54="",V53,Telai!BD45)</f>
        <v>15.85</v>
      </c>
      <c r="X54" s="3" t="str">
        <f>IF(Telai!BS45="","",ABS(Telai!BS45))</f>
        <v/>
      </c>
      <c r="Y54" s="3">
        <f t="shared" si="5"/>
        <v>27.703500000000002</v>
      </c>
      <c r="Z54" s="3">
        <f>IF(X54="",Z53,Telai!BQ45)</f>
        <v>15.85</v>
      </c>
    </row>
    <row r="55" spans="1:26">
      <c r="D55" s="3" t="str">
        <f>IF(Telai!F46="","",ABS(Telai!F46))</f>
        <v/>
      </c>
      <c r="E55" s="3">
        <f t="shared" si="0"/>
        <v>32.502000000000002</v>
      </c>
      <c r="F55" s="3">
        <f>IF(D55="",F54,Telai!D46)</f>
        <v>15.85</v>
      </c>
      <c r="H55" s="3" t="str">
        <f>IF(Telai!S46="","",ABS(Telai!S46))</f>
        <v/>
      </c>
      <c r="I55" s="3">
        <f t="shared" si="1"/>
        <v>31.801500000000001</v>
      </c>
      <c r="J55" s="3">
        <f>IF(H55="",J54,Telai!Q46)</f>
        <v>15.85</v>
      </c>
      <c r="L55" s="3" t="str">
        <f>IF(Telai!AF46="","",ABS(Telai!AF46))</f>
        <v/>
      </c>
      <c r="M55" s="3">
        <f t="shared" si="2"/>
        <v>30.732500000000002</v>
      </c>
      <c r="N55" s="3">
        <f>IF(L55="",N54,Telai!AD46)</f>
        <v>15.85</v>
      </c>
      <c r="P55" s="3" t="str">
        <f>IF(Telai!AS46="","",ABS(Telai!AS46))</f>
        <v/>
      </c>
      <c r="Q55" s="3">
        <f t="shared" si="3"/>
        <v>29.318000000000001</v>
      </c>
      <c r="R55" s="3">
        <f>IF(P55="",R54,Telai!AQ46)</f>
        <v>15.85</v>
      </c>
      <c r="T55" s="3" t="str">
        <f>IF(Telai!BF46="","",ABS(Telai!BF46))</f>
        <v/>
      </c>
      <c r="U55" s="3">
        <f t="shared" si="4"/>
        <v>27.703500000000002</v>
      </c>
      <c r="V55" s="3">
        <f>IF(T55="",V54,Telai!BD46)</f>
        <v>15.85</v>
      </c>
      <c r="X55" s="3" t="str">
        <f>IF(Telai!BS46="","",ABS(Telai!BS46))</f>
        <v/>
      </c>
      <c r="Y55" s="3">
        <f t="shared" si="5"/>
        <v>27.703500000000002</v>
      </c>
      <c r="Z55" s="3">
        <f>IF(X55="",Z54,Telai!BQ46)</f>
        <v>15.85</v>
      </c>
    </row>
    <row r="56" spans="1:26">
      <c r="D56" s="3" t="str">
        <f>IF(Telai!F47="","",ABS(Telai!F47))</f>
        <v/>
      </c>
      <c r="E56" s="3">
        <f t="shared" si="0"/>
        <v>32.502000000000002</v>
      </c>
      <c r="F56" s="3">
        <f>IF(D56="",F55,Telai!D47)</f>
        <v>15.85</v>
      </c>
      <c r="H56" s="3" t="str">
        <f>IF(Telai!S47="","",ABS(Telai!S47))</f>
        <v/>
      </c>
      <c r="I56" s="3">
        <f t="shared" si="1"/>
        <v>31.801500000000001</v>
      </c>
      <c r="J56" s="3">
        <f>IF(H56="",J55,Telai!Q47)</f>
        <v>15.85</v>
      </c>
      <c r="L56" s="3" t="str">
        <f>IF(Telai!AF47="","",ABS(Telai!AF47))</f>
        <v/>
      </c>
      <c r="M56" s="3">
        <f t="shared" si="2"/>
        <v>30.732500000000002</v>
      </c>
      <c r="N56" s="3">
        <f>IF(L56="",N55,Telai!AD47)</f>
        <v>15.85</v>
      </c>
      <c r="P56" s="3" t="str">
        <f>IF(Telai!AS47="","",ABS(Telai!AS47))</f>
        <v/>
      </c>
      <c r="Q56" s="3">
        <f t="shared" si="3"/>
        <v>29.318000000000001</v>
      </c>
      <c r="R56" s="3">
        <f>IF(P56="",R55,Telai!AQ47)</f>
        <v>15.85</v>
      </c>
      <c r="T56" s="3" t="str">
        <f>IF(Telai!BF47="","",ABS(Telai!BF47))</f>
        <v/>
      </c>
      <c r="U56" s="3">
        <f t="shared" si="4"/>
        <v>27.703500000000002</v>
      </c>
      <c r="V56" s="3">
        <f>IF(T56="",V55,Telai!BD47)</f>
        <v>15.85</v>
      </c>
      <c r="X56" s="3" t="str">
        <f>IF(Telai!BS47="","",ABS(Telai!BS47))</f>
        <v/>
      </c>
      <c r="Y56" s="3">
        <f t="shared" si="5"/>
        <v>27.703500000000002</v>
      </c>
      <c r="Z56" s="3">
        <f>IF(X56="",Z55,Telai!BQ47)</f>
        <v>15.85</v>
      </c>
    </row>
    <row r="57" spans="1:26">
      <c r="D57" s="3" t="str">
        <f>IF(Telai!F48="","",ABS(Telai!F48))</f>
        <v/>
      </c>
      <c r="E57" s="3">
        <f t="shared" si="0"/>
        <v>32.502000000000002</v>
      </c>
      <c r="F57" s="3">
        <f>IF(D57="",F56,Telai!D48)</f>
        <v>15.85</v>
      </c>
      <c r="H57" s="3" t="str">
        <f>IF(Telai!S48="","",ABS(Telai!S48))</f>
        <v/>
      </c>
      <c r="I57" s="3">
        <f t="shared" si="1"/>
        <v>31.801500000000001</v>
      </c>
      <c r="J57" s="3">
        <f>IF(H57="",J56,Telai!Q48)</f>
        <v>15.85</v>
      </c>
      <c r="L57" s="3" t="str">
        <f>IF(Telai!AF48="","",ABS(Telai!AF48))</f>
        <v/>
      </c>
      <c r="M57" s="3">
        <f t="shared" si="2"/>
        <v>30.732500000000002</v>
      </c>
      <c r="N57" s="3">
        <f>IF(L57="",N56,Telai!AD48)</f>
        <v>15.85</v>
      </c>
      <c r="P57" s="3" t="str">
        <f>IF(Telai!AS48="","",ABS(Telai!AS48))</f>
        <v/>
      </c>
      <c r="Q57" s="3">
        <f t="shared" si="3"/>
        <v>29.318000000000001</v>
      </c>
      <c r="R57" s="3">
        <f>IF(P57="",R56,Telai!AQ48)</f>
        <v>15.85</v>
      </c>
      <c r="T57" s="3" t="str">
        <f>IF(Telai!BF48="","",ABS(Telai!BF48))</f>
        <v/>
      </c>
      <c r="U57" s="3">
        <f t="shared" si="4"/>
        <v>27.703500000000002</v>
      </c>
      <c r="V57" s="3">
        <f>IF(T57="",V56,Telai!BD48)</f>
        <v>15.85</v>
      </c>
      <c r="X57" s="3" t="str">
        <f>IF(Telai!BS48="","",ABS(Telai!BS48))</f>
        <v/>
      </c>
      <c r="Y57" s="3">
        <f t="shared" si="5"/>
        <v>27.703500000000002</v>
      </c>
      <c r="Z57" s="3">
        <f>IF(X57="",Z56,Telai!BQ48)</f>
        <v>15.85</v>
      </c>
    </row>
    <row r="58" spans="1:26">
      <c r="D58" s="3" t="str">
        <f>IF(Telai!F49="","",ABS(Telai!F49))</f>
        <v/>
      </c>
      <c r="E58" s="3">
        <f t="shared" si="0"/>
        <v>32.502000000000002</v>
      </c>
      <c r="F58" s="3">
        <f>IF(D58="",F57,Telai!D49)</f>
        <v>15.85</v>
      </c>
      <c r="H58" s="3" t="str">
        <f>IF(Telai!S49="","",ABS(Telai!S49))</f>
        <v/>
      </c>
      <c r="I58" s="3">
        <f t="shared" si="1"/>
        <v>31.801500000000001</v>
      </c>
      <c r="J58" s="3">
        <f>IF(H58="",J57,Telai!Q49)</f>
        <v>15.85</v>
      </c>
      <c r="L58" s="3" t="str">
        <f>IF(Telai!AF49="","",ABS(Telai!AF49))</f>
        <v/>
      </c>
      <c r="M58" s="3">
        <f t="shared" si="2"/>
        <v>30.732500000000002</v>
      </c>
      <c r="N58" s="3">
        <f>IF(L58="",N57,Telai!AD49)</f>
        <v>15.85</v>
      </c>
      <c r="P58" s="3" t="str">
        <f>IF(Telai!AS49="","",ABS(Telai!AS49))</f>
        <v/>
      </c>
      <c r="Q58" s="3">
        <f t="shared" si="3"/>
        <v>29.318000000000001</v>
      </c>
      <c r="R58" s="3">
        <f>IF(P58="",R57,Telai!AQ49)</f>
        <v>15.85</v>
      </c>
      <c r="T58" s="3" t="str">
        <f>IF(Telai!BF49="","",ABS(Telai!BF49))</f>
        <v/>
      </c>
      <c r="U58" s="3">
        <f t="shared" si="4"/>
        <v>27.703500000000002</v>
      </c>
      <c r="V58" s="3">
        <f>IF(T58="",V57,Telai!BD49)</f>
        <v>15.85</v>
      </c>
      <c r="X58" s="3" t="str">
        <f>IF(Telai!BS49="","",ABS(Telai!BS49))</f>
        <v/>
      </c>
      <c r="Y58" s="3">
        <f t="shared" si="5"/>
        <v>27.703500000000002</v>
      </c>
      <c r="Z58" s="3">
        <f>IF(X58="",Z57,Telai!BQ49)</f>
        <v>15.85</v>
      </c>
    </row>
    <row r="59" spans="1:26">
      <c r="D59" s="3" t="str">
        <f>IF(Telai!F50="","",ABS(Telai!F50))</f>
        <v/>
      </c>
      <c r="E59" s="3">
        <f t="shared" si="0"/>
        <v>32.502000000000002</v>
      </c>
      <c r="F59" s="3">
        <f>IF(D59="",F58,Telai!D50)</f>
        <v>15.85</v>
      </c>
      <c r="H59" s="3" t="str">
        <f>IF(Telai!S50="","",ABS(Telai!S50))</f>
        <v/>
      </c>
      <c r="I59" s="3">
        <f t="shared" si="1"/>
        <v>31.801500000000001</v>
      </c>
      <c r="J59" s="3">
        <f>IF(H59="",J58,Telai!Q50)</f>
        <v>15.85</v>
      </c>
      <c r="L59" s="3" t="str">
        <f>IF(Telai!AF50="","",ABS(Telai!AF50))</f>
        <v/>
      </c>
      <c r="M59" s="3">
        <f t="shared" si="2"/>
        <v>30.732500000000002</v>
      </c>
      <c r="N59" s="3">
        <f>IF(L59="",N58,Telai!AD50)</f>
        <v>15.85</v>
      </c>
      <c r="P59" s="3" t="str">
        <f>IF(Telai!AS50="","",ABS(Telai!AS50))</f>
        <v/>
      </c>
      <c r="Q59" s="3">
        <f t="shared" si="3"/>
        <v>29.318000000000001</v>
      </c>
      <c r="R59" s="3">
        <f>IF(P59="",R58,Telai!AQ50)</f>
        <v>15.85</v>
      </c>
      <c r="T59" s="3" t="str">
        <f>IF(Telai!BF50="","",ABS(Telai!BF50))</f>
        <v/>
      </c>
      <c r="U59" s="3">
        <f t="shared" si="4"/>
        <v>27.703500000000002</v>
      </c>
      <c r="V59" s="3">
        <f>IF(T59="",V58,Telai!BD50)</f>
        <v>15.85</v>
      </c>
      <c r="X59" s="3" t="str">
        <f>IF(Telai!BS50="","",ABS(Telai!BS50))</f>
        <v/>
      </c>
      <c r="Y59" s="3">
        <f t="shared" si="5"/>
        <v>27.703500000000002</v>
      </c>
      <c r="Z59" s="3">
        <f>IF(X59="",Z58,Telai!BQ50)</f>
        <v>15.85</v>
      </c>
    </row>
    <row r="60" spans="1:26">
      <c r="D60" s="3" t="str">
        <f>IF(Telai!F51="","",ABS(Telai!F51))</f>
        <v/>
      </c>
      <c r="E60" s="3">
        <f t="shared" si="0"/>
        <v>32.502000000000002</v>
      </c>
      <c r="F60" s="3">
        <f>IF(D60="",F59,Telai!D51)</f>
        <v>15.85</v>
      </c>
      <c r="H60" s="3" t="str">
        <f>IF(Telai!S51="","",ABS(Telai!S51))</f>
        <v/>
      </c>
      <c r="I60" s="3">
        <f t="shared" si="1"/>
        <v>31.801500000000001</v>
      </c>
      <c r="J60" s="3">
        <f>IF(H60="",J59,Telai!Q51)</f>
        <v>15.85</v>
      </c>
      <c r="L60" s="3" t="str">
        <f>IF(Telai!AF51="","",ABS(Telai!AF51))</f>
        <v/>
      </c>
      <c r="M60" s="3">
        <f t="shared" si="2"/>
        <v>30.732500000000002</v>
      </c>
      <c r="N60" s="3">
        <f>IF(L60="",N59,Telai!AD51)</f>
        <v>15.85</v>
      </c>
      <c r="P60" s="3" t="str">
        <f>IF(Telai!AS51="","",ABS(Telai!AS51))</f>
        <v/>
      </c>
      <c r="Q60" s="3">
        <f t="shared" si="3"/>
        <v>29.318000000000001</v>
      </c>
      <c r="R60" s="3">
        <f>IF(P60="",R59,Telai!AQ51)</f>
        <v>15.85</v>
      </c>
      <c r="T60" s="3" t="str">
        <f>IF(Telai!BF51="","",ABS(Telai!BF51))</f>
        <v/>
      </c>
      <c r="U60" s="3">
        <f t="shared" si="4"/>
        <v>27.703500000000002</v>
      </c>
      <c r="V60" s="3">
        <f>IF(T60="",V59,Telai!BD51)</f>
        <v>15.85</v>
      </c>
      <c r="X60" s="3" t="str">
        <f>IF(Telai!BS51="","",ABS(Telai!BS51))</f>
        <v/>
      </c>
      <c r="Y60" s="3">
        <f t="shared" si="5"/>
        <v>27.703500000000002</v>
      </c>
      <c r="Z60" s="3">
        <f>IF(X60="",Z59,Telai!BQ51)</f>
        <v>15.85</v>
      </c>
    </row>
    <row r="61" spans="1:26">
      <c r="A61" s="7" t="s">
        <v>113</v>
      </c>
      <c r="D61" s="3" t="str">
        <f>IF(Telai!F52="","",ABS(Telai!F52))</f>
        <v/>
      </c>
      <c r="E61" s="3">
        <f t="shared" si="0"/>
        <v>32.502000000000002</v>
      </c>
      <c r="F61" s="3">
        <f>IF(D61="",F60,Telai!D52)</f>
        <v>15.85</v>
      </c>
      <c r="H61" s="3" t="str">
        <f>IF(Telai!S52="","",ABS(Telai!S52))</f>
        <v/>
      </c>
      <c r="I61" s="3">
        <f t="shared" si="1"/>
        <v>31.801500000000001</v>
      </c>
      <c r="J61" s="3">
        <f>IF(H61="",J60,Telai!Q52)</f>
        <v>15.85</v>
      </c>
      <c r="L61" s="3" t="str">
        <f>IF(Telai!AF52="","",ABS(Telai!AF52))</f>
        <v/>
      </c>
      <c r="M61" s="3">
        <f t="shared" si="2"/>
        <v>30.732500000000002</v>
      </c>
      <c r="N61" s="3">
        <f>IF(L61="",N60,Telai!AD52)</f>
        <v>15.85</v>
      </c>
      <c r="P61" s="3" t="str">
        <f>IF(Telai!AS52="","",ABS(Telai!AS52))</f>
        <v/>
      </c>
      <c r="Q61" s="3">
        <f t="shared" si="3"/>
        <v>29.318000000000001</v>
      </c>
      <c r="R61" s="3">
        <f>IF(P61="",R60,Telai!AQ52)</f>
        <v>15.85</v>
      </c>
      <c r="T61" s="3" t="str">
        <f>IF(Telai!BF52="","",ABS(Telai!BF52))</f>
        <v/>
      </c>
      <c r="U61" s="3">
        <f t="shared" si="4"/>
        <v>27.703500000000002</v>
      </c>
      <c r="V61" s="3">
        <f>IF(T61="",V60,Telai!BD52)</f>
        <v>15.85</v>
      </c>
      <c r="X61" s="3" t="str">
        <f>IF(Telai!BS52="","",ABS(Telai!BS52))</f>
        <v/>
      </c>
      <c r="Y61" s="3">
        <f t="shared" si="5"/>
        <v>27.703500000000002</v>
      </c>
      <c r="Z61" s="3">
        <f>IF(X61="",Z60,Telai!BQ52)</f>
        <v>15.85</v>
      </c>
    </row>
    <row r="62" spans="1:26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32.502000000000002</v>
      </c>
      <c r="F62" s="3">
        <f>IF(D62="",F61,Telai!D53)</f>
        <v>15.85</v>
      </c>
      <c r="H62" s="3" t="str">
        <f>IF(Telai!S53="","",ABS(Telai!S53))</f>
        <v/>
      </c>
      <c r="I62" s="3">
        <f t="shared" si="1"/>
        <v>31.801500000000001</v>
      </c>
      <c r="J62" s="3">
        <f>IF(H62="",J61,Telai!Q53)</f>
        <v>15.85</v>
      </c>
      <c r="L62" s="3" t="str">
        <f>IF(Telai!AF53="","",ABS(Telai!AF53))</f>
        <v/>
      </c>
      <c r="M62" s="3">
        <f t="shared" si="2"/>
        <v>30.732500000000002</v>
      </c>
      <c r="N62" s="3">
        <f>IF(L62="",N61,Telai!AD53)</f>
        <v>15.85</v>
      </c>
      <c r="P62" s="3" t="str">
        <f>IF(Telai!AS53="","",ABS(Telai!AS53))</f>
        <v/>
      </c>
      <c r="Q62" s="3">
        <f t="shared" si="3"/>
        <v>29.318000000000001</v>
      </c>
      <c r="R62" s="3">
        <f>IF(P62="",R61,Telai!AQ53)</f>
        <v>15.85</v>
      </c>
      <c r="T62" s="3" t="str">
        <f>IF(Telai!BF53="","",ABS(Telai!BF53))</f>
        <v/>
      </c>
      <c r="U62" s="3">
        <f t="shared" si="4"/>
        <v>27.703500000000002</v>
      </c>
      <c r="V62" s="3">
        <f>IF(T62="",V61,Telai!BD53)</f>
        <v>15.85</v>
      </c>
      <c r="X62" s="3" t="str">
        <f>IF(Telai!BS53="","",ABS(Telai!BS53))</f>
        <v/>
      </c>
      <c r="Y62" s="3">
        <f t="shared" si="5"/>
        <v>27.703500000000002</v>
      </c>
      <c r="Z62" s="3">
        <f>IF(X62="",Z61,Telai!BQ53)</f>
        <v>15.85</v>
      </c>
    </row>
    <row r="63" spans="1:26">
      <c r="A63" s="3">
        <f>MIN(E64:E84,I64:I84,M64:M84,Q64:Q84,U64:U84,Y64:Y84)</f>
        <v>0.15</v>
      </c>
      <c r="B63" s="3">
        <f>F64</f>
        <v>20.1265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  <c r="P63" s="48" t="s">
        <v>114</v>
      </c>
      <c r="Q63" s="48" t="s">
        <v>7</v>
      </c>
      <c r="R63" s="48" t="s">
        <v>8</v>
      </c>
      <c r="T63" s="48" t="s">
        <v>114</v>
      </c>
      <c r="U63" s="48" t="s">
        <v>7</v>
      </c>
      <c r="V63" s="48" t="s">
        <v>8</v>
      </c>
      <c r="X63" s="48" t="s">
        <v>114</v>
      </c>
      <c r="Y63" s="48" t="s">
        <v>7</v>
      </c>
      <c r="Z63" s="48" t="s">
        <v>8</v>
      </c>
    </row>
    <row r="64" spans="1:26">
      <c r="A64" s="3">
        <f>A63</f>
        <v>0.15</v>
      </c>
      <c r="B64" s="3">
        <f>MAX(Dati!B14:M14)+I1</f>
        <v>19.5</v>
      </c>
      <c r="D64" s="2">
        <f>IF(Telai!F60="","",ABS(Telai!F60))</f>
        <v>1.2529999999999999</v>
      </c>
      <c r="E64" s="3">
        <f>IF(D64="",E63,Telai!D60)</f>
        <v>0.15</v>
      </c>
      <c r="F64" s="3">
        <f t="shared" ref="F64:F84" si="6">IF(D64="",F63,$B$64+D64*$E$1)</f>
        <v>20.1265</v>
      </c>
      <c r="H64" s="2">
        <f>IF(Telai!S60="","",ABS(Telai!S60))</f>
        <v>1.1539999999999999</v>
      </c>
      <c r="I64" s="3">
        <f>IF(H64="",I63,Telai!Q60)</f>
        <v>0.15</v>
      </c>
      <c r="J64" s="3">
        <f t="shared" ref="J64:J84" si="7">IF(H64="",J63,$B$64+H64*$E$1)</f>
        <v>20.076999999999998</v>
      </c>
      <c r="L64" s="2">
        <f>IF(Telai!AF60="","",ABS(Telai!AF60))</f>
        <v>0.96799999999999997</v>
      </c>
      <c r="M64" s="3">
        <f>IF(L64="",M63,Telai!AD60)</f>
        <v>0.15</v>
      </c>
      <c r="N64" s="3">
        <f t="shared" ref="N64:N84" si="8">IF(L64="",N63,$B$64+L64*$E$1)</f>
        <v>19.984000000000002</v>
      </c>
      <c r="P64" s="2">
        <f>IF(Telai!AS60="","",ABS(Telai!AS60))</f>
        <v>0.69699999999999995</v>
      </c>
      <c r="Q64" s="3">
        <f>IF(P64="",Q63,Telai!AQ60)</f>
        <v>0.15</v>
      </c>
      <c r="R64" s="3">
        <f t="shared" ref="R64:R84" si="9">IF(P64="",R63,$B$64+P64*$E$1)</f>
        <v>19.848500000000001</v>
      </c>
      <c r="T64" s="2">
        <f>IF(Telai!BF60="","",ABS(Telai!BF60))</f>
        <v>0.36</v>
      </c>
      <c r="U64" s="3">
        <f>IF(T64="",U63,Telai!BD60)</f>
        <v>0.15</v>
      </c>
      <c r="V64" s="3">
        <f t="shared" ref="V64:V84" si="10">IF(T64="",V63,$B$64+T64*$E$1)</f>
        <v>19.68</v>
      </c>
      <c r="X64" s="2">
        <f>IF(Telai!BS60="","",ABS(Telai!BS60))</f>
        <v>0.36</v>
      </c>
      <c r="Y64" s="3">
        <f>IF(X64="",Y63,Telai!BQ60)</f>
        <v>0.15</v>
      </c>
      <c r="Z64" s="3">
        <f t="shared" ref="Z64:Z84" si="11">IF(X64="",Z63,$B$64+X64*$E$1)</f>
        <v>19.68</v>
      </c>
    </row>
    <row r="65" spans="1:26">
      <c r="A65" s="3">
        <f>A66</f>
        <v>22.65</v>
      </c>
      <c r="B65" s="1">
        <f>B64</f>
        <v>19.5</v>
      </c>
      <c r="D65" s="2">
        <f>IF(Telai!F61="","",ABS(Telai!F61))</f>
        <v>1.18</v>
      </c>
      <c r="E65" s="3">
        <f>IF(D65="",E64,Telai!D61)</f>
        <v>2.5</v>
      </c>
      <c r="F65" s="3">
        <f t="shared" si="6"/>
        <v>20.09</v>
      </c>
      <c r="H65" s="2">
        <f>IF(Telai!S61="","",ABS(Telai!S61))</f>
        <v>1.0779999999999998</v>
      </c>
      <c r="I65" s="3">
        <f>IF(H65="",I64,Telai!Q61)</f>
        <v>2.5</v>
      </c>
      <c r="J65" s="3">
        <f t="shared" si="7"/>
        <v>20.039000000000001</v>
      </c>
      <c r="L65" s="2">
        <f>IF(Telai!AF61="","",ABS(Telai!AF61))</f>
        <v>0.89649999999999996</v>
      </c>
      <c r="M65" s="3">
        <f>IF(L65="",M64,Telai!AD61)</f>
        <v>2.5</v>
      </c>
      <c r="N65" s="3">
        <f t="shared" si="8"/>
        <v>19.948250000000002</v>
      </c>
      <c r="P65" s="2">
        <f>IF(Telai!AS61="","",ABS(Telai!AS61))</f>
        <v>0.63849999999999996</v>
      </c>
      <c r="Q65" s="3">
        <f>IF(P65="",Q64,Telai!AQ61)</f>
        <v>2.5</v>
      </c>
      <c r="R65" s="3">
        <f t="shared" si="9"/>
        <v>19.81925</v>
      </c>
      <c r="T65" s="2">
        <f>IF(Telai!BF61="","",ABS(Telai!BF61))</f>
        <v>0.32449999999999996</v>
      </c>
      <c r="U65" s="3">
        <f>IF(T65="",U64,Telai!BD61)</f>
        <v>2.5</v>
      </c>
      <c r="V65" s="3">
        <f t="shared" si="10"/>
        <v>19.66225</v>
      </c>
      <c r="X65" s="2">
        <f>IF(Telai!BS61="","",ABS(Telai!BS61))</f>
        <v>0.32449999999999996</v>
      </c>
      <c r="Y65" s="3">
        <f>IF(X65="",Y64,Telai!BQ61)</f>
        <v>2.5</v>
      </c>
      <c r="Z65" s="3">
        <f t="shared" si="11"/>
        <v>19.66225</v>
      </c>
    </row>
    <row r="66" spans="1:26">
      <c r="A66" s="3">
        <f>MAX(E64:E84,I64:I84,M64:M84,Q64:Q84,U64:U84,Y64:Y84)</f>
        <v>22.65</v>
      </c>
      <c r="B66" s="3">
        <f>F84</f>
        <v>20.499500000000001</v>
      </c>
      <c r="D66" s="2">
        <f>IF(Telai!F62="","",ABS(Telai!F62))</f>
        <v>1.107</v>
      </c>
      <c r="E66" s="3">
        <f>IF(D66="",E65,Telai!D62)</f>
        <v>4.8499999999999996</v>
      </c>
      <c r="F66" s="3">
        <f t="shared" si="6"/>
        <v>20.0535</v>
      </c>
      <c r="H66" s="2">
        <f>IF(Telai!S62="","",ABS(Telai!S62))</f>
        <v>1.002</v>
      </c>
      <c r="I66" s="3">
        <f>IF(H66="",I65,Telai!Q62)</f>
        <v>4.8499999999999996</v>
      </c>
      <c r="J66" s="3">
        <f t="shared" si="7"/>
        <v>20.001000000000001</v>
      </c>
      <c r="L66" s="2">
        <f>IF(Telai!AF62="","",ABS(Telai!AF62))</f>
        <v>0.82499999999999996</v>
      </c>
      <c r="M66" s="3">
        <f>IF(L66="",M65,Telai!AD62)</f>
        <v>4.8499999999999996</v>
      </c>
      <c r="N66" s="3">
        <f t="shared" si="8"/>
        <v>19.912500000000001</v>
      </c>
      <c r="P66" s="2">
        <f>IF(Telai!AS62="","",ABS(Telai!AS62))</f>
        <v>0.57999999999999996</v>
      </c>
      <c r="Q66" s="3">
        <f>IF(P66="",Q65,Telai!AQ62)</f>
        <v>4.8499999999999996</v>
      </c>
      <c r="R66" s="3">
        <f t="shared" si="9"/>
        <v>19.79</v>
      </c>
      <c r="T66" s="2">
        <f>IF(Telai!BF62="","",ABS(Telai!BF62))</f>
        <v>0.28899999999999998</v>
      </c>
      <c r="U66" s="3">
        <f>IF(T66="",U65,Telai!BD62)</f>
        <v>4.8499999999999996</v>
      </c>
      <c r="V66" s="3">
        <f t="shared" si="10"/>
        <v>19.644500000000001</v>
      </c>
      <c r="X66" s="2">
        <f>IF(Telai!BS62="","",ABS(Telai!BS62))</f>
        <v>0.28899999999999998</v>
      </c>
      <c r="Y66" s="3">
        <f>IF(X66="",Y65,Telai!BQ62)</f>
        <v>4.8499999999999996</v>
      </c>
      <c r="Z66" s="3">
        <f t="shared" si="11"/>
        <v>19.644500000000001</v>
      </c>
    </row>
    <row r="67" spans="1:26">
      <c r="D67" s="2">
        <f>IF(Telai!F63="","",ABS(Telai!F63))</f>
        <v>1.1179999999999999</v>
      </c>
      <c r="E67" s="3">
        <f>IF(D67="",E66,Telai!D63)</f>
        <v>6.75</v>
      </c>
      <c r="F67" s="3">
        <f t="shared" si="6"/>
        <v>20.059000000000001</v>
      </c>
      <c r="H67" s="2">
        <f>IF(Telai!S63="","",ABS(Telai!S63))</f>
        <v>1.0024999999999999</v>
      </c>
      <c r="I67" s="3">
        <f>IF(H67="",I66,Telai!Q63)</f>
        <v>6.75</v>
      </c>
      <c r="J67" s="3">
        <f t="shared" si="7"/>
        <v>20.001249999999999</v>
      </c>
      <c r="L67" s="2">
        <f>IF(Telai!AF63="","",ABS(Telai!AF63))</f>
        <v>0.8175</v>
      </c>
      <c r="M67" s="3">
        <f>IF(L67="",M66,Telai!AD63)</f>
        <v>6.75</v>
      </c>
      <c r="N67" s="3">
        <f t="shared" si="8"/>
        <v>19.908750000000001</v>
      </c>
      <c r="P67" s="2">
        <f>IF(Telai!AS63="","",ABS(Telai!AS63))</f>
        <v>0.5665</v>
      </c>
      <c r="Q67" s="3">
        <f>IF(P67="",Q66,Telai!AQ63)</f>
        <v>6.75</v>
      </c>
      <c r="R67" s="3">
        <f t="shared" si="9"/>
        <v>19.783249999999999</v>
      </c>
      <c r="T67" s="2">
        <f>IF(Telai!BF63="","",ABS(Telai!BF63))</f>
        <v>0.27500000000000002</v>
      </c>
      <c r="U67" s="3">
        <f>IF(T67="",U66,Telai!BD63)</f>
        <v>6.75</v>
      </c>
      <c r="V67" s="3">
        <f t="shared" si="10"/>
        <v>19.637499999999999</v>
      </c>
      <c r="X67" s="2">
        <f>IF(Telai!BS63="","",ABS(Telai!BS63))</f>
        <v>0.27500000000000002</v>
      </c>
      <c r="Y67" s="3">
        <f>IF(X67="",Y66,Telai!BQ63)</f>
        <v>6.75</v>
      </c>
      <c r="Z67" s="3">
        <f t="shared" si="11"/>
        <v>19.637499999999999</v>
      </c>
    </row>
    <row r="68" spans="1:26">
      <c r="D68" s="2">
        <f>IF(Telai!F64="","",ABS(Telai!F64))</f>
        <v>1.129</v>
      </c>
      <c r="E68" s="3">
        <f>IF(D68="",E67,Telai!D64)</f>
        <v>8.65</v>
      </c>
      <c r="F68" s="3">
        <f t="shared" si="6"/>
        <v>20.064499999999999</v>
      </c>
      <c r="H68" s="2">
        <f>IF(Telai!S64="","",ABS(Telai!S64))</f>
        <v>1.0029999999999999</v>
      </c>
      <c r="I68" s="3">
        <f>IF(H68="",I67,Telai!Q64)</f>
        <v>8.65</v>
      </c>
      <c r="J68" s="3">
        <f t="shared" si="7"/>
        <v>20.0015</v>
      </c>
      <c r="L68" s="2">
        <f>IF(Telai!AF64="","",ABS(Telai!AF64))</f>
        <v>0.81</v>
      </c>
      <c r="M68" s="3">
        <f>IF(L68="",M67,Telai!AD64)</f>
        <v>8.65</v>
      </c>
      <c r="N68" s="3">
        <f t="shared" si="8"/>
        <v>19.905000000000001</v>
      </c>
      <c r="P68" s="2">
        <f>IF(Telai!AS64="","",ABS(Telai!AS64))</f>
        <v>0.55300000000000005</v>
      </c>
      <c r="Q68" s="3">
        <f>IF(P68="",Q67,Telai!AQ64)</f>
        <v>8.65</v>
      </c>
      <c r="R68" s="3">
        <f t="shared" si="9"/>
        <v>19.776499999999999</v>
      </c>
      <c r="T68" s="2">
        <f>IF(Telai!BF64="","",ABS(Telai!BF64))</f>
        <v>0.26100000000000001</v>
      </c>
      <c r="U68" s="3">
        <f>IF(T68="",U67,Telai!BD64)</f>
        <v>8.65</v>
      </c>
      <c r="V68" s="3">
        <f t="shared" si="10"/>
        <v>19.630500000000001</v>
      </c>
      <c r="X68" s="2">
        <f>IF(Telai!BS64="","",ABS(Telai!BS64))</f>
        <v>0.26100000000000001</v>
      </c>
      <c r="Y68" s="3">
        <f>IF(X68="",Y67,Telai!BQ64)</f>
        <v>8.65</v>
      </c>
      <c r="Z68" s="3">
        <f t="shared" si="11"/>
        <v>19.630500000000001</v>
      </c>
    </row>
    <row r="69" spans="1:26">
      <c r="D69" s="2">
        <f>IF(Telai!F65="","",ABS(Telai!F65))</f>
        <v>1.1815</v>
      </c>
      <c r="E69" s="3">
        <f>IF(D69="",E68,Telai!D65)</f>
        <v>10.15</v>
      </c>
      <c r="F69" s="3">
        <f t="shared" si="6"/>
        <v>20.09075</v>
      </c>
      <c r="H69" s="2">
        <f>IF(Telai!S65="","",ABS(Telai!S65))</f>
        <v>1.0445</v>
      </c>
      <c r="I69" s="3">
        <f>IF(H69="",I68,Telai!Q65)</f>
        <v>10.15</v>
      </c>
      <c r="J69" s="3">
        <f t="shared" si="7"/>
        <v>20.02225</v>
      </c>
      <c r="L69" s="2">
        <f>IF(Telai!AF65="","",ABS(Telai!AF65))</f>
        <v>0.83899999999999997</v>
      </c>
      <c r="M69" s="3">
        <f>IF(L69="",M68,Telai!AD65)</f>
        <v>10.15</v>
      </c>
      <c r="N69" s="3">
        <f t="shared" si="8"/>
        <v>19.919499999999999</v>
      </c>
      <c r="P69" s="2">
        <f>IF(Telai!AS65="","",ABS(Telai!AS65))</f>
        <v>0.56800000000000006</v>
      </c>
      <c r="Q69" s="3">
        <f>IF(P69="",Q68,Telai!AQ65)</f>
        <v>10.15</v>
      </c>
      <c r="R69" s="3">
        <f t="shared" si="9"/>
        <v>19.783999999999999</v>
      </c>
      <c r="T69" s="2">
        <f>IF(Telai!BF65="","",ABS(Telai!BF65))</f>
        <v>0.26350000000000001</v>
      </c>
      <c r="U69" s="3">
        <f>IF(T69="",U68,Telai!BD65)</f>
        <v>10.15</v>
      </c>
      <c r="V69" s="3">
        <f t="shared" si="10"/>
        <v>19.63175</v>
      </c>
      <c r="X69" s="2">
        <f>IF(Telai!BS65="","",ABS(Telai!BS65))</f>
        <v>0.26350000000000001</v>
      </c>
      <c r="Y69" s="3">
        <f>IF(X69="",Y68,Telai!BQ65)</f>
        <v>10.15</v>
      </c>
      <c r="Z69" s="3">
        <f t="shared" si="11"/>
        <v>19.63175</v>
      </c>
    </row>
    <row r="70" spans="1:26">
      <c r="D70" s="2">
        <f>IF(Telai!F66="","",ABS(Telai!F66))</f>
        <v>1.234</v>
      </c>
      <c r="E70" s="3">
        <f>IF(D70="",E69,Telai!D66)</f>
        <v>11.65</v>
      </c>
      <c r="F70" s="3">
        <f t="shared" si="6"/>
        <v>20.117000000000001</v>
      </c>
      <c r="H70" s="2">
        <f>IF(Telai!S66="","",ABS(Telai!S66))</f>
        <v>1.0860000000000001</v>
      </c>
      <c r="I70" s="3">
        <f>IF(H70="",I69,Telai!Q66)</f>
        <v>11.65</v>
      </c>
      <c r="J70" s="3">
        <f t="shared" si="7"/>
        <v>20.042999999999999</v>
      </c>
      <c r="L70" s="2">
        <f>IF(Telai!AF66="","",ABS(Telai!AF66))</f>
        <v>0.86799999999999999</v>
      </c>
      <c r="M70" s="3">
        <f>IF(L70="",M69,Telai!AD66)</f>
        <v>11.65</v>
      </c>
      <c r="N70" s="3">
        <f t="shared" si="8"/>
        <v>19.934000000000001</v>
      </c>
      <c r="P70" s="2">
        <f>IF(Telai!AS66="","",ABS(Telai!AS66))</f>
        <v>0.58299999999999996</v>
      </c>
      <c r="Q70" s="3">
        <f>IF(P70="",Q69,Telai!AQ66)</f>
        <v>11.65</v>
      </c>
      <c r="R70" s="3">
        <f t="shared" si="9"/>
        <v>19.791499999999999</v>
      </c>
      <c r="T70" s="2">
        <f>IF(Telai!BF66="","",ABS(Telai!BF66))</f>
        <v>0.26600000000000001</v>
      </c>
      <c r="U70" s="3">
        <f>IF(T70="",U69,Telai!BD66)</f>
        <v>11.65</v>
      </c>
      <c r="V70" s="3">
        <f t="shared" si="10"/>
        <v>19.632999999999999</v>
      </c>
      <c r="X70" s="2">
        <f>IF(Telai!BS66="","",ABS(Telai!BS66))</f>
        <v>0.26600000000000001</v>
      </c>
      <c r="Y70" s="3">
        <f>IF(X70="",Y69,Telai!BQ66)</f>
        <v>11.65</v>
      </c>
      <c r="Z70" s="3">
        <f t="shared" si="11"/>
        <v>19.632999999999999</v>
      </c>
    </row>
    <row r="71" spans="1:26">
      <c r="D71" s="2">
        <f>IF(Telai!F67="","",ABS(Telai!F67))</f>
        <v>1.3220000000000001</v>
      </c>
      <c r="E71" s="3">
        <f>IF(D71="",E70,Telai!D67)</f>
        <v>13.25</v>
      </c>
      <c r="F71" s="3">
        <f t="shared" si="6"/>
        <v>20.161000000000001</v>
      </c>
      <c r="H71" s="2">
        <f>IF(Telai!S67="","",ABS(Telai!S67))</f>
        <v>1.1615000000000002</v>
      </c>
      <c r="I71" s="3">
        <f>IF(H71="",I70,Telai!Q67)</f>
        <v>13.25</v>
      </c>
      <c r="J71" s="3">
        <f t="shared" si="7"/>
        <v>20.080750000000002</v>
      </c>
      <c r="L71" s="2">
        <f>IF(Telai!AF67="","",ABS(Telai!AF67))</f>
        <v>0.92600000000000005</v>
      </c>
      <c r="M71" s="3">
        <f>IF(L71="",M70,Telai!AD67)</f>
        <v>13.25</v>
      </c>
      <c r="N71" s="3">
        <f t="shared" si="8"/>
        <v>19.963000000000001</v>
      </c>
      <c r="P71" s="2">
        <f>IF(Telai!AS67="","",ABS(Telai!AS67))</f>
        <v>0.62</v>
      </c>
      <c r="Q71" s="3">
        <f>IF(P71="",Q70,Telai!AQ67)</f>
        <v>13.25</v>
      </c>
      <c r="R71" s="3">
        <f t="shared" si="9"/>
        <v>19.809999999999999</v>
      </c>
      <c r="T71" s="2">
        <f>IF(Telai!BF67="","",ABS(Telai!BF67))</f>
        <v>0.28049999999999997</v>
      </c>
      <c r="U71" s="3">
        <f>IF(T71="",U70,Telai!BD67)</f>
        <v>13.25</v>
      </c>
      <c r="V71" s="3">
        <f t="shared" si="10"/>
        <v>19.640250000000002</v>
      </c>
      <c r="X71" s="2">
        <f>IF(Telai!BS67="","",ABS(Telai!BS67))</f>
        <v>0.28049999999999997</v>
      </c>
      <c r="Y71" s="3">
        <f>IF(X71="",Y70,Telai!BQ67)</f>
        <v>13.25</v>
      </c>
      <c r="Z71" s="3">
        <f t="shared" si="11"/>
        <v>19.640250000000002</v>
      </c>
    </row>
    <row r="72" spans="1:26">
      <c r="D72" s="2">
        <f>IF(Telai!F68="","",ABS(Telai!F68))</f>
        <v>1.41</v>
      </c>
      <c r="E72" s="3">
        <f>IF(D72="",E71,Telai!D68)</f>
        <v>14.85</v>
      </c>
      <c r="F72" s="3">
        <f t="shared" si="6"/>
        <v>20.204999999999998</v>
      </c>
      <c r="H72" s="2">
        <f>IF(Telai!S68="","",ABS(Telai!S68))</f>
        <v>1.2370000000000001</v>
      </c>
      <c r="I72" s="3">
        <f>IF(H72="",I71,Telai!Q68)</f>
        <v>14.85</v>
      </c>
      <c r="J72" s="3">
        <f t="shared" si="7"/>
        <v>20.118500000000001</v>
      </c>
      <c r="L72" s="2">
        <f>IF(Telai!AF68="","",ABS(Telai!AF68))</f>
        <v>0.98399999999999999</v>
      </c>
      <c r="M72" s="3">
        <f>IF(L72="",M71,Telai!AD68)</f>
        <v>14.85</v>
      </c>
      <c r="N72" s="3">
        <f t="shared" si="8"/>
        <v>19.992000000000001</v>
      </c>
      <c r="P72" s="2">
        <f>IF(Telai!AS68="","",ABS(Telai!AS68))</f>
        <v>0.65700000000000003</v>
      </c>
      <c r="Q72" s="3">
        <f>IF(P72="",Q71,Telai!AQ68)</f>
        <v>14.85</v>
      </c>
      <c r="R72" s="3">
        <f t="shared" si="9"/>
        <v>19.828499999999998</v>
      </c>
      <c r="T72" s="2">
        <f>IF(Telai!BF68="","",ABS(Telai!BF68))</f>
        <v>0.29499999999999998</v>
      </c>
      <c r="U72" s="3">
        <f>IF(T72="",U71,Telai!BD68)</f>
        <v>14.85</v>
      </c>
      <c r="V72" s="3">
        <f t="shared" si="10"/>
        <v>19.647500000000001</v>
      </c>
      <c r="X72" s="2">
        <f>IF(Telai!BS68="","",ABS(Telai!BS68))</f>
        <v>0.29499999999999998</v>
      </c>
      <c r="Y72" s="3">
        <f>IF(X72="",Y71,Telai!BQ68)</f>
        <v>14.85</v>
      </c>
      <c r="Z72" s="3">
        <f t="shared" si="11"/>
        <v>19.647500000000001</v>
      </c>
    </row>
    <row r="73" spans="1:26">
      <c r="D73" s="2">
        <f>IF(Telai!F69="","",ABS(Telai!F69))</f>
        <v>1.5585</v>
      </c>
      <c r="E73" s="3">
        <f>IF(D73="",E72,Telai!D69)</f>
        <v>16.95</v>
      </c>
      <c r="F73" s="3">
        <f t="shared" si="6"/>
        <v>20.279250000000001</v>
      </c>
      <c r="H73" s="2">
        <f>IF(Telai!S69="","",ABS(Telai!S69))</f>
        <v>1.3680000000000001</v>
      </c>
      <c r="I73" s="3">
        <f>IF(H73="",I72,Telai!Q69)</f>
        <v>16.95</v>
      </c>
      <c r="J73" s="3">
        <f t="shared" si="7"/>
        <v>20.184000000000001</v>
      </c>
      <c r="L73" s="2">
        <f>IF(Telai!AF69="","",ABS(Telai!AF69))</f>
        <v>1.0894999999999999</v>
      </c>
      <c r="M73" s="3">
        <f>IF(L73="",M72,Telai!AD69)</f>
        <v>16.95</v>
      </c>
      <c r="N73" s="3">
        <f t="shared" si="8"/>
        <v>20.044750000000001</v>
      </c>
      <c r="P73" s="2">
        <f>IF(Telai!AS69="","",ABS(Telai!AS69))</f>
        <v>0.72850000000000004</v>
      </c>
      <c r="Q73" s="3">
        <f>IF(P73="",Q72,Telai!AQ69)</f>
        <v>16.95</v>
      </c>
      <c r="R73" s="3">
        <f t="shared" si="9"/>
        <v>19.864249999999998</v>
      </c>
      <c r="T73" s="2">
        <f>IF(Telai!BF69="","",ABS(Telai!BF69))</f>
        <v>0.32799999999999996</v>
      </c>
      <c r="U73" s="3">
        <f>IF(T73="",U72,Telai!BD69)</f>
        <v>16.95</v>
      </c>
      <c r="V73" s="3">
        <f t="shared" si="10"/>
        <v>19.664000000000001</v>
      </c>
      <c r="X73" s="2">
        <f>IF(Telai!BS69="","",ABS(Telai!BS69))</f>
        <v>0.32799999999999996</v>
      </c>
      <c r="Y73" s="3">
        <f>IF(X73="",Y72,Telai!BQ69)</f>
        <v>16.95</v>
      </c>
      <c r="Z73" s="3">
        <f t="shared" si="11"/>
        <v>19.664000000000001</v>
      </c>
    </row>
    <row r="74" spans="1:26">
      <c r="D74" s="2">
        <f>IF(Telai!F70="","",ABS(Telai!F70))</f>
        <v>1.7070000000000001</v>
      </c>
      <c r="E74" s="3">
        <f>IF(D74="",E73,Telai!D70)</f>
        <v>19.05</v>
      </c>
      <c r="F74" s="3">
        <f t="shared" si="6"/>
        <v>20.3535</v>
      </c>
      <c r="H74" s="2">
        <f>IF(Telai!S70="","",ABS(Telai!S70))</f>
        <v>1.4990000000000001</v>
      </c>
      <c r="I74" s="3">
        <f>IF(H74="",I73,Telai!Q70)</f>
        <v>19.05</v>
      </c>
      <c r="J74" s="3">
        <f t="shared" si="7"/>
        <v>20.249500000000001</v>
      </c>
      <c r="L74" s="2">
        <f>IF(Telai!AF70="","",ABS(Telai!AF70))</f>
        <v>1.1950000000000001</v>
      </c>
      <c r="M74" s="3">
        <f>IF(L74="",M73,Telai!AD70)</f>
        <v>19.05</v>
      </c>
      <c r="N74" s="3">
        <f t="shared" si="8"/>
        <v>20.0975</v>
      </c>
      <c r="P74" s="2">
        <f>IF(Telai!AS70="","",ABS(Telai!AS70))</f>
        <v>0.8</v>
      </c>
      <c r="Q74" s="3">
        <f>IF(P74="",Q73,Telai!AQ70)</f>
        <v>19.05</v>
      </c>
      <c r="R74" s="3">
        <f t="shared" si="9"/>
        <v>19.899999999999999</v>
      </c>
      <c r="T74" s="2">
        <f>IF(Telai!BF70="","",ABS(Telai!BF70))</f>
        <v>0.36099999999999999</v>
      </c>
      <c r="U74" s="3">
        <f>IF(T74="",U73,Telai!BD70)</f>
        <v>19.05</v>
      </c>
      <c r="V74" s="3">
        <f t="shared" si="10"/>
        <v>19.680499999999999</v>
      </c>
      <c r="X74" s="2">
        <f>IF(Telai!BS70="","",ABS(Telai!BS70))</f>
        <v>0.36099999999999999</v>
      </c>
      <c r="Y74" s="3">
        <f>IF(X74="",Y73,Telai!BQ70)</f>
        <v>19.05</v>
      </c>
      <c r="Z74" s="3">
        <f t="shared" si="11"/>
        <v>19.680499999999999</v>
      </c>
    </row>
    <row r="75" spans="1:26">
      <c r="D75" s="2">
        <f>IF(Telai!F71="","",ABS(Telai!F71))</f>
        <v>1.8530000000000002</v>
      </c>
      <c r="E75" s="3">
        <f>IF(D75="",E74,Telai!D71)</f>
        <v>20.85</v>
      </c>
      <c r="F75" s="3">
        <f t="shared" si="6"/>
        <v>20.426500000000001</v>
      </c>
      <c r="H75" s="2">
        <f>IF(Telai!S71="","",ABS(Telai!S71))</f>
        <v>1.6295000000000002</v>
      </c>
      <c r="I75" s="3">
        <f>IF(H75="",I74,Telai!Q71)</f>
        <v>20.85</v>
      </c>
      <c r="J75" s="3">
        <f t="shared" si="7"/>
        <v>20.31475</v>
      </c>
      <c r="L75" s="2">
        <f>IF(Telai!AF71="","",ABS(Telai!AF71))</f>
        <v>1.3015000000000001</v>
      </c>
      <c r="M75" s="3">
        <f>IF(L75="",M74,Telai!AD71)</f>
        <v>20.85</v>
      </c>
      <c r="N75" s="3">
        <f t="shared" si="8"/>
        <v>20.150749999999999</v>
      </c>
      <c r="P75" s="2">
        <f>IF(Telai!AS71="","",ABS(Telai!AS71))</f>
        <v>0.87400000000000011</v>
      </c>
      <c r="Q75" s="3">
        <f>IF(P75="",Q74,Telai!AQ71)</f>
        <v>20.85</v>
      </c>
      <c r="R75" s="3">
        <f t="shared" si="9"/>
        <v>19.937000000000001</v>
      </c>
      <c r="T75" s="2">
        <f>IF(Telai!BF71="","",ABS(Telai!BF71))</f>
        <v>0.39700000000000002</v>
      </c>
      <c r="U75" s="3">
        <f>IF(T75="",U74,Telai!BD71)</f>
        <v>20.85</v>
      </c>
      <c r="V75" s="3">
        <f t="shared" si="10"/>
        <v>19.698499999999999</v>
      </c>
      <c r="X75" s="2">
        <f>IF(Telai!BS71="","",ABS(Telai!BS71))</f>
        <v>0.39700000000000002</v>
      </c>
      <c r="Y75" s="3">
        <f>IF(X75="",Y74,Telai!BQ71)</f>
        <v>20.85</v>
      </c>
      <c r="Z75" s="3">
        <f t="shared" si="11"/>
        <v>19.698499999999999</v>
      </c>
    </row>
    <row r="76" spans="1:26">
      <c r="D76" s="2">
        <f>IF(Telai!F72="","",ABS(Telai!F72))</f>
        <v>1.9990000000000001</v>
      </c>
      <c r="E76" s="3">
        <f>IF(D76="",E75,Telai!D72)</f>
        <v>22.65</v>
      </c>
      <c r="F76" s="3">
        <f t="shared" si="6"/>
        <v>20.499500000000001</v>
      </c>
      <c r="H76" s="2">
        <f>IF(Telai!S72="","",ABS(Telai!S72))</f>
        <v>1.76</v>
      </c>
      <c r="I76" s="3">
        <f>IF(H76="",I75,Telai!Q72)</f>
        <v>22.65</v>
      </c>
      <c r="J76" s="3">
        <f t="shared" si="7"/>
        <v>20.38</v>
      </c>
      <c r="L76" s="2">
        <f>IF(Telai!AF72="","",ABS(Telai!AF72))</f>
        <v>1.4079999999999999</v>
      </c>
      <c r="M76" s="3">
        <f>IF(L76="",M75,Telai!AD72)</f>
        <v>22.65</v>
      </c>
      <c r="N76" s="3">
        <f t="shared" si="8"/>
        <v>20.204000000000001</v>
      </c>
      <c r="P76" s="2">
        <f>IF(Telai!AS72="","",ABS(Telai!AS72))</f>
        <v>0.94799999999999995</v>
      </c>
      <c r="Q76" s="3">
        <f>IF(P76="",Q75,Telai!AQ72)</f>
        <v>22.65</v>
      </c>
      <c r="R76" s="3">
        <f t="shared" si="9"/>
        <v>19.974</v>
      </c>
      <c r="T76" s="2">
        <f>IF(Telai!BF72="","",ABS(Telai!BF72))</f>
        <v>0.433</v>
      </c>
      <c r="U76" s="3">
        <f>IF(T76="",U75,Telai!BD72)</f>
        <v>22.65</v>
      </c>
      <c r="V76" s="3">
        <f t="shared" si="10"/>
        <v>19.7165</v>
      </c>
      <c r="X76" s="2">
        <f>IF(Telai!BS72="","",ABS(Telai!BS72))</f>
        <v>0.433</v>
      </c>
      <c r="Y76" s="3">
        <f>IF(X76="",Y75,Telai!BQ72)</f>
        <v>22.65</v>
      </c>
      <c r="Z76" s="3">
        <f t="shared" si="11"/>
        <v>19.7165</v>
      </c>
    </row>
    <row r="77" spans="1:26">
      <c r="D77" s="2" t="str">
        <f>IF(Telai!F73="","",ABS(Telai!F73))</f>
        <v/>
      </c>
      <c r="E77" s="3">
        <f>IF(D77="",E76,Telai!D73)</f>
        <v>22.65</v>
      </c>
      <c r="F77" s="3">
        <f t="shared" si="6"/>
        <v>20.499500000000001</v>
      </c>
      <c r="H77" s="2" t="str">
        <f>IF(Telai!S73="","",ABS(Telai!S73))</f>
        <v/>
      </c>
      <c r="I77" s="3">
        <f>IF(H77="",I76,Telai!Q73)</f>
        <v>22.65</v>
      </c>
      <c r="J77" s="3">
        <f t="shared" si="7"/>
        <v>20.38</v>
      </c>
      <c r="L77" s="2" t="str">
        <f>IF(Telai!AF73="","",ABS(Telai!AF73))</f>
        <v/>
      </c>
      <c r="M77" s="3">
        <f>IF(L77="",M76,Telai!AD73)</f>
        <v>22.65</v>
      </c>
      <c r="N77" s="3">
        <f t="shared" si="8"/>
        <v>20.204000000000001</v>
      </c>
      <c r="P77" s="2" t="str">
        <f>IF(Telai!AS73="","",ABS(Telai!AS73))</f>
        <v/>
      </c>
      <c r="Q77" s="3">
        <f>IF(P77="",Q76,Telai!AQ73)</f>
        <v>22.65</v>
      </c>
      <c r="R77" s="3">
        <f t="shared" si="9"/>
        <v>19.974</v>
      </c>
      <c r="T77" s="2" t="str">
        <f>IF(Telai!BF73="","",ABS(Telai!BF73))</f>
        <v/>
      </c>
      <c r="U77" s="3">
        <f>IF(T77="",U76,Telai!BD73)</f>
        <v>22.65</v>
      </c>
      <c r="V77" s="3">
        <f t="shared" si="10"/>
        <v>19.7165</v>
      </c>
      <c r="X77" s="2" t="str">
        <f>IF(Telai!BS73="","",ABS(Telai!BS73))</f>
        <v/>
      </c>
      <c r="Y77" s="3">
        <f>IF(X77="",Y76,Telai!BQ73)</f>
        <v>22.65</v>
      </c>
      <c r="Z77" s="3">
        <f t="shared" si="11"/>
        <v>19.7165</v>
      </c>
    </row>
    <row r="78" spans="1:26">
      <c r="D78" s="2" t="str">
        <f>IF(Telai!F74="","",ABS(Telai!F74))</f>
        <v/>
      </c>
      <c r="E78" s="3">
        <f>IF(D78="",E77,Telai!D74)</f>
        <v>22.65</v>
      </c>
      <c r="F78" s="3">
        <f t="shared" si="6"/>
        <v>20.499500000000001</v>
      </c>
      <c r="H78" s="2" t="str">
        <f>IF(Telai!S74="","",ABS(Telai!S74))</f>
        <v/>
      </c>
      <c r="I78" s="3">
        <f>IF(H78="",I77,Telai!Q74)</f>
        <v>22.65</v>
      </c>
      <c r="J78" s="3">
        <f t="shared" si="7"/>
        <v>20.38</v>
      </c>
      <c r="L78" s="2" t="str">
        <f>IF(Telai!AF74="","",ABS(Telai!AF74))</f>
        <v/>
      </c>
      <c r="M78" s="3">
        <f>IF(L78="",M77,Telai!AD74)</f>
        <v>22.65</v>
      </c>
      <c r="N78" s="3">
        <f t="shared" si="8"/>
        <v>20.204000000000001</v>
      </c>
      <c r="P78" s="2" t="str">
        <f>IF(Telai!AS74="","",ABS(Telai!AS74))</f>
        <v/>
      </c>
      <c r="Q78" s="3">
        <f>IF(P78="",Q77,Telai!AQ74)</f>
        <v>22.65</v>
      </c>
      <c r="R78" s="3">
        <f t="shared" si="9"/>
        <v>19.974</v>
      </c>
      <c r="T78" s="2" t="str">
        <f>IF(Telai!BF74="","",ABS(Telai!BF74))</f>
        <v/>
      </c>
      <c r="U78" s="3">
        <f>IF(T78="",U77,Telai!BD74)</f>
        <v>22.65</v>
      </c>
      <c r="V78" s="3">
        <f t="shared" si="10"/>
        <v>19.7165</v>
      </c>
      <c r="X78" s="2" t="str">
        <f>IF(Telai!BS74="","",ABS(Telai!BS74))</f>
        <v/>
      </c>
      <c r="Y78" s="3">
        <f>IF(X78="",Y77,Telai!BQ74)</f>
        <v>22.65</v>
      </c>
      <c r="Z78" s="3">
        <f t="shared" si="11"/>
        <v>19.7165</v>
      </c>
    </row>
    <row r="79" spans="1:26">
      <c r="D79" s="2" t="str">
        <f>IF(Telai!F75="","",ABS(Telai!F75))</f>
        <v/>
      </c>
      <c r="E79" s="3">
        <f>IF(D79="",E78,Telai!D75)</f>
        <v>22.65</v>
      </c>
      <c r="F79" s="3">
        <f t="shared" si="6"/>
        <v>20.499500000000001</v>
      </c>
      <c r="H79" s="2" t="str">
        <f>IF(Telai!S75="","",ABS(Telai!S75))</f>
        <v/>
      </c>
      <c r="I79" s="3">
        <f>IF(H79="",I78,Telai!Q75)</f>
        <v>22.65</v>
      </c>
      <c r="J79" s="3">
        <f t="shared" si="7"/>
        <v>20.38</v>
      </c>
      <c r="L79" s="2" t="str">
        <f>IF(Telai!AF75="","",ABS(Telai!AF75))</f>
        <v/>
      </c>
      <c r="M79" s="3">
        <f>IF(L79="",M78,Telai!AD75)</f>
        <v>22.65</v>
      </c>
      <c r="N79" s="3">
        <f t="shared" si="8"/>
        <v>20.204000000000001</v>
      </c>
      <c r="P79" s="2" t="str">
        <f>IF(Telai!AS75="","",ABS(Telai!AS75))</f>
        <v/>
      </c>
      <c r="Q79" s="3">
        <f>IF(P79="",Q78,Telai!AQ75)</f>
        <v>22.65</v>
      </c>
      <c r="R79" s="3">
        <f t="shared" si="9"/>
        <v>19.974</v>
      </c>
      <c r="T79" s="2" t="str">
        <f>IF(Telai!BF75="","",ABS(Telai!BF75))</f>
        <v/>
      </c>
      <c r="U79" s="3">
        <f>IF(T79="",U78,Telai!BD75)</f>
        <v>22.65</v>
      </c>
      <c r="V79" s="3">
        <f t="shared" si="10"/>
        <v>19.7165</v>
      </c>
      <c r="X79" s="2" t="str">
        <f>IF(Telai!BS75="","",ABS(Telai!BS75))</f>
        <v/>
      </c>
      <c r="Y79" s="3">
        <f>IF(X79="",Y78,Telai!BQ75)</f>
        <v>22.65</v>
      </c>
      <c r="Z79" s="3">
        <f t="shared" si="11"/>
        <v>19.7165</v>
      </c>
    </row>
    <row r="80" spans="1:26">
      <c r="D80" s="2" t="str">
        <f>IF(Telai!F76="","",ABS(Telai!F76))</f>
        <v/>
      </c>
      <c r="E80" s="3">
        <f>IF(D80="",E79,Telai!D76)</f>
        <v>22.65</v>
      </c>
      <c r="F80" s="3">
        <f t="shared" si="6"/>
        <v>20.499500000000001</v>
      </c>
      <c r="H80" s="2" t="str">
        <f>IF(Telai!S76="","",ABS(Telai!S76))</f>
        <v/>
      </c>
      <c r="I80" s="3">
        <f>IF(H80="",I79,Telai!Q76)</f>
        <v>22.65</v>
      </c>
      <c r="J80" s="3">
        <f t="shared" si="7"/>
        <v>20.38</v>
      </c>
      <c r="L80" s="2" t="str">
        <f>IF(Telai!AF76="","",ABS(Telai!AF76))</f>
        <v/>
      </c>
      <c r="M80" s="3">
        <f>IF(L80="",M79,Telai!AD76)</f>
        <v>22.65</v>
      </c>
      <c r="N80" s="3">
        <f t="shared" si="8"/>
        <v>20.204000000000001</v>
      </c>
      <c r="P80" s="2" t="str">
        <f>IF(Telai!AS76="","",ABS(Telai!AS76))</f>
        <v/>
      </c>
      <c r="Q80" s="3">
        <f>IF(P80="",Q79,Telai!AQ76)</f>
        <v>22.65</v>
      </c>
      <c r="R80" s="3">
        <f t="shared" si="9"/>
        <v>19.974</v>
      </c>
      <c r="T80" s="2" t="str">
        <f>IF(Telai!BF76="","",ABS(Telai!BF76))</f>
        <v/>
      </c>
      <c r="U80" s="3">
        <f>IF(T80="",U79,Telai!BD76)</f>
        <v>22.65</v>
      </c>
      <c r="V80" s="3">
        <f t="shared" si="10"/>
        <v>19.7165</v>
      </c>
      <c r="X80" s="2" t="str">
        <f>IF(Telai!BS76="","",ABS(Telai!BS76))</f>
        <v/>
      </c>
      <c r="Y80" s="3">
        <f>IF(X80="",Y79,Telai!BQ76)</f>
        <v>22.65</v>
      </c>
      <c r="Z80" s="3">
        <f t="shared" si="11"/>
        <v>19.7165</v>
      </c>
    </row>
    <row r="81" spans="4:26">
      <c r="D81" s="2" t="str">
        <f>IF(Telai!F77="","",ABS(Telai!F77))</f>
        <v/>
      </c>
      <c r="E81" s="3">
        <f>IF(D81="",E80,Telai!D77)</f>
        <v>22.65</v>
      </c>
      <c r="F81" s="3">
        <f t="shared" si="6"/>
        <v>20.499500000000001</v>
      </c>
      <c r="H81" s="2" t="str">
        <f>IF(Telai!S77="","",ABS(Telai!S77))</f>
        <v/>
      </c>
      <c r="I81" s="3">
        <f>IF(H81="",I80,Telai!Q77)</f>
        <v>22.65</v>
      </c>
      <c r="J81" s="3">
        <f t="shared" si="7"/>
        <v>20.38</v>
      </c>
      <c r="L81" s="2" t="str">
        <f>IF(Telai!AF77="","",ABS(Telai!AF77))</f>
        <v/>
      </c>
      <c r="M81" s="3">
        <f>IF(L81="",M80,Telai!AD77)</f>
        <v>22.65</v>
      </c>
      <c r="N81" s="3">
        <f t="shared" si="8"/>
        <v>20.204000000000001</v>
      </c>
      <c r="P81" s="2" t="str">
        <f>IF(Telai!AS77="","",ABS(Telai!AS77))</f>
        <v/>
      </c>
      <c r="Q81" s="3">
        <f>IF(P81="",Q80,Telai!AQ77)</f>
        <v>22.65</v>
      </c>
      <c r="R81" s="3">
        <f t="shared" si="9"/>
        <v>19.974</v>
      </c>
      <c r="T81" s="2" t="str">
        <f>IF(Telai!BF77="","",ABS(Telai!BF77))</f>
        <v/>
      </c>
      <c r="U81" s="3">
        <f>IF(T81="",U80,Telai!BD77)</f>
        <v>22.65</v>
      </c>
      <c r="V81" s="3">
        <f t="shared" si="10"/>
        <v>19.7165</v>
      </c>
      <c r="X81" s="2" t="str">
        <f>IF(Telai!BS77="","",ABS(Telai!BS77))</f>
        <v/>
      </c>
      <c r="Y81" s="3">
        <f>IF(X81="",Y80,Telai!BQ77)</f>
        <v>22.65</v>
      </c>
      <c r="Z81" s="3">
        <f t="shared" si="11"/>
        <v>19.7165</v>
      </c>
    </row>
    <row r="82" spans="4:26">
      <c r="D82" s="2" t="str">
        <f>IF(Telai!F78="","",ABS(Telai!F78))</f>
        <v/>
      </c>
      <c r="E82" s="3">
        <f>IF(D82="",E81,Telai!D78)</f>
        <v>22.65</v>
      </c>
      <c r="F82" s="3">
        <f t="shared" si="6"/>
        <v>20.499500000000001</v>
      </c>
      <c r="H82" s="2" t="str">
        <f>IF(Telai!S78="","",ABS(Telai!S78))</f>
        <v/>
      </c>
      <c r="I82" s="3">
        <f>IF(H82="",I81,Telai!Q78)</f>
        <v>22.65</v>
      </c>
      <c r="J82" s="3">
        <f t="shared" si="7"/>
        <v>20.38</v>
      </c>
      <c r="L82" s="2" t="str">
        <f>IF(Telai!AF78="","",ABS(Telai!AF78))</f>
        <v/>
      </c>
      <c r="M82" s="3">
        <f>IF(L82="",M81,Telai!AD78)</f>
        <v>22.65</v>
      </c>
      <c r="N82" s="3">
        <f t="shared" si="8"/>
        <v>20.204000000000001</v>
      </c>
      <c r="P82" s="2" t="str">
        <f>IF(Telai!AS78="","",ABS(Telai!AS78))</f>
        <v/>
      </c>
      <c r="Q82" s="3">
        <f>IF(P82="",Q81,Telai!AQ78)</f>
        <v>22.65</v>
      </c>
      <c r="R82" s="3">
        <f t="shared" si="9"/>
        <v>19.974</v>
      </c>
      <c r="T82" s="2" t="str">
        <f>IF(Telai!BF78="","",ABS(Telai!BF78))</f>
        <v/>
      </c>
      <c r="U82" s="3">
        <f>IF(T82="",U81,Telai!BD78)</f>
        <v>22.65</v>
      </c>
      <c r="V82" s="3">
        <f t="shared" si="10"/>
        <v>19.7165</v>
      </c>
      <c r="X82" s="2" t="str">
        <f>IF(Telai!BS78="","",ABS(Telai!BS78))</f>
        <v/>
      </c>
      <c r="Y82" s="3">
        <f>IF(X82="",Y81,Telai!BQ78)</f>
        <v>22.65</v>
      </c>
      <c r="Z82" s="3">
        <f t="shared" si="11"/>
        <v>19.7165</v>
      </c>
    </row>
    <row r="83" spans="4:26">
      <c r="D83" s="2" t="str">
        <f>IF(Telai!F79="","",ABS(Telai!F79))</f>
        <v/>
      </c>
      <c r="E83" s="3">
        <f>IF(D83="",E82,Telai!D79)</f>
        <v>22.65</v>
      </c>
      <c r="F83" s="3">
        <f t="shared" si="6"/>
        <v>20.499500000000001</v>
      </c>
      <c r="H83" s="2" t="str">
        <f>IF(Telai!S79="","",ABS(Telai!S79))</f>
        <v/>
      </c>
      <c r="I83" s="3">
        <f>IF(H83="",I82,Telai!Q79)</f>
        <v>22.65</v>
      </c>
      <c r="J83" s="3">
        <f t="shared" si="7"/>
        <v>20.38</v>
      </c>
      <c r="L83" s="2" t="str">
        <f>IF(Telai!AF79="","",ABS(Telai!AF79))</f>
        <v/>
      </c>
      <c r="M83" s="3">
        <f>IF(L83="",M82,Telai!AD79)</f>
        <v>22.65</v>
      </c>
      <c r="N83" s="3">
        <f t="shared" si="8"/>
        <v>20.204000000000001</v>
      </c>
      <c r="P83" s="2" t="str">
        <f>IF(Telai!AS79="","",ABS(Telai!AS79))</f>
        <v/>
      </c>
      <c r="Q83" s="3">
        <f>IF(P83="",Q82,Telai!AQ79)</f>
        <v>22.65</v>
      </c>
      <c r="R83" s="3">
        <f t="shared" si="9"/>
        <v>19.974</v>
      </c>
      <c r="T83" s="2" t="str">
        <f>IF(Telai!BF79="","",ABS(Telai!BF79))</f>
        <v/>
      </c>
      <c r="U83" s="3">
        <f>IF(T83="",U82,Telai!BD79)</f>
        <v>22.65</v>
      </c>
      <c r="V83" s="3">
        <f t="shared" si="10"/>
        <v>19.7165</v>
      </c>
      <c r="X83" s="2" t="str">
        <f>IF(Telai!BS79="","",ABS(Telai!BS79))</f>
        <v/>
      </c>
      <c r="Y83" s="3">
        <f>IF(X83="",Y82,Telai!BQ79)</f>
        <v>22.65</v>
      </c>
      <c r="Z83" s="3">
        <f t="shared" si="11"/>
        <v>19.7165</v>
      </c>
    </row>
    <row r="84" spans="4:26">
      <c r="D84" s="2" t="str">
        <f>IF(Telai!F80="","",ABS(Telai!F80))</f>
        <v/>
      </c>
      <c r="E84" s="3">
        <f>IF(D84="",E83,Telai!D80)</f>
        <v>22.65</v>
      </c>
      <c r="F84" s="3">
        <f t="shared" si="6"/>
        <v>20.499500000000001</v>
      </c>
      <c r="H84" s="2" t="str">
        <f>IF(Telai!S80="","",ABS(Telai!S80))</f>
        <v/>
      </c>
      <c r="I84" s="3">
        <f>IF(H84="",I83,Telai!Q80)</f>
        <v>22.65</v>
      </c>
      <c r="J84" s="3">
        <f t="shared" si="7"/>
        <v>20.38</v>
      </c>
      <c r="L84" s="2" t="str">
        <f>IF(Telai!AF80="","",ABS(Telai!AF80))</f>
        <v/>
      </c>
      <c r="M84" s="3">
        <f>IF(L84="",M83,Telai!AD80)</f>
        <v>22.65</v>
      </c>
      <c r="N84" s="3">
        <f t="shared" si="8"/>
        <v>20.204000000000001</v>
      </c>
      <c r="P84" s="2" t="str">
        <f>IF(Telai!AS80="","",ABS(Telai!AS80))</f>
        <v/>
      </c>
      <c r="Q84" s="3">
        <f>IF(P84="",Q83,Telai!AQ80)</f>
        <v>22.65</v>
      </c>
      <c r="R84" s="3">
        <f t="shared" si="9"/>
        <v>19.974</v>
      </c>
      <c r="T84" s="2" t="str">
        <f>IF(Telai!BF80="","",ABS(Telai!BF80))</f>
        <v/>
      </c>
      <c r="U84" s="3">
        <f>IF(T84="",U83,Telai!BD80)</f>
        <v>22.65</v>
      </c>
      <c r="V84" s="3">
        <f t="shared" si="10"/>
        <v>19.7165</v>
      </c>
      <c r="X84" s="2" t="str">
        <f>IF(Telai!BS80="","",ABS(Telai!BS80))</f>
        <v/>
      </c>
      <c r="Y84" s="3">
        <f>IF(X84="",Y83,Telai!BQ80)</f>
        <v>22.65</v>
      </c>
      <c r="Z84" s="3">
        <f t="shared" si="11"/>
        <v>19.7165</v>
      </c>
    </row>
    <row r="85" spans="4:26">
      <c r="D85" s="47"/>
      <c r="E85" s="47"/>
      <c r="F85" s="47"/>
      <c r="H85" s="47"/>
      <c r="I85" s="47"/>
      <c r="J85" s="47"/>
      <c r="L85" s="47"/>
      <c r="M85" s="47"/>
      <c r="N85" s="47"/>
      <c r="P85" s="47"/>
      <c r="Q85" s="47"/>
      <c r="R85" s="47"/>
      <c r="T85" s="47"/>
      <c r="U85" s="47"/>
      <c r="V85" s="47"/>
      <c r="X85" s="47"/>
      <c r="Y85" s="47"/>
      <c r="Z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Z85"/>
  <sheetViews>
    <sheetView workbookViewId="0"/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26">
      <c r="A40" s="7" t="s">
        <v>111</v>
      </c>
      <c r="D40" s="6" t="str">
        <f>CONCATENATE("piano ",Telai!A4)</f>
        <v>piano 5</v>
      </c>
      <c r="H40" s="6" t="str">
        <f>CONCATENATE("piano ",Telai!N4)</f>
        <v>piano 4</v>
      </c>
      <c r="L40" s="6" t="str">
        <f>CONCATENATE("piano ",Telai!AA4)</f>
        <v>piano 3</v>
      </c>
      <c r="P40" s="6" t="str">
        <f>CONCATENATE("piano ",Telai!AN4)</f>
        <v>piano 2</v>
      </c>
      <c r="T40" s="6" t="str">
        <f>CONCATENATE("piano ",Telai!BA4)</f>
        <v>piano 1</v>
      </c>
      <c r="X40" s="6" t="str">
        <f>CONCATENATE("piano ",Telai!BN4)</f>
        <v>piano 1</v>
      </c>
    </row>
    <row r="41" spans="1:26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  <c r="P41" s="6" t="s">
        <v>112</v>
      </c>
      <c r="Q41" s="6" t="s">
        <v>7</v>
      </c>
      <c r="R41" s="6" t="s">
        <v>8</v>
      </c>
      <c r="T41" s="6" t="s">
        <v>112</v>
      </c>
      <c r="U41" s="6" t="s">
        <v>7</v>
      </c>
      <c r="V41" s="6" t="s">
        <v>8</v>
      </c>
      <c r="X41" s="6" t="s">
        <v>112</v>
      </c>
      <c r="Y41" s="6" t="s">
        <v>7</v>
      </c>
      <c r="Z41" s="6" t="s">
        <v>8</v>
      </c>
    </row>
    <row r="42" spans="1:26">
      <c r="A42" s="3">
        <f>E42</f>
        <v>28.6615</v>
      </c>
      <c r="B42" s="3">
        <f>MIN(F42:F62,J42:J62,N42:N62,R42:R62,V42:V62,Z42:Z62)</f>
        <v>0.15</v>
      </c>
      <c r="D42" s="3">
        <f>IF(Telai!G33="","",ABS(Telai!G33))</f>
        <v>4.7229999999999999</v>
      </c>
      <c r="E42" s="3">
        <f t="shared" ref="E42:E62" si="0">IF(D42="",E41,$A$43+D42*$E$1)</f>
        <v>28.6615</v>
      </c>
      <c r="F42" s="3">
        <f>IF(D42="",F41,Telai!D33)</f>
        <v>0.15</v>
      </c>
      <c r="H42" s="3">
        <f>IF(Telai!T33="","",ABS(Telai!T33))</f>
        <v>4.1970000000000001</v>
      </c>
      <c r="I42" s="3">
        <f t="shared" ref="I42:I62" si="1">IF(H42="",I41,$A$43+H42*$E$1)</f>
        <v>28.398500000000002</v>
      </c>
      <c r="J42" s="3">
        <f>IF(H42="",J41,Telai!Q33)</f>
        <v>0.15</v>
      </c>
      <c r="L42" s="3">
        <f>IF(Telai!AG33="","",ABS(Telai!AG33))</f>
        <v>3.3809999999999998</v>
      </c>
      <c r="M42" s="3">
        <f t="shared" ref="M42:M62" si="2">IF(L42="",M41,$A$43+L42*$E$1)</f>
        <v>27.990500000000001</v>
      </c>
      <c r="N42" s="3">
        <f>IF(L42="",N41,Telai!AD33)</f>
        <v>0.15</v>
      </c>
      <c r="P42" s="3">
        <f>IF(Telai!AT33="","",ABS(Telai!AT33))</f>
        <v>2.2869999999999999</v>
      </c>
      <c r="Q42" s="3">
        <f t="shared" ref="Q42:Q62" si="3">IF(P42="",Q41,$A$43+P42*$E$1)</f>
        <v>27.4435</v>
      </c>
      <c r="R42" s="3">
        <f>IF(P42="",R41,Telai!AQ33)</f>
        <v>0.15</v>
      </c>
      <c r="T42" s="3">
        <f>IF(Telai!BG33="","",ABS(Telai!BG33))</f>
        <v>1.042</v>
      </c>
      <c r="U42" s="3">
        <f t="shared" ref="U42:U62" si="4">IF(T42="",U41,$A$43+T42*$E$1)</f>
        <v>26.821000000000002</v>
      </c>
      <c r="V42" s="3">
        <f>IF(T42="",V41,Telai!BD33)</f>
        <v>0.15</v>
      </c>
      <c r="X42" s="3">
        <f>IF(Telai!BT33="","",ABS(Telai!BT33))</f>
        <v>1.042</v>
      </c>
      <c r="Y42" s="3">
        <f t="shared" ref="Y42:Y62" si="5">IF(X42="",Y41,$A$43+X42*$E$1)</f>
        <v>26.821000000000002</v>
      </c>
      <c r="Z42" s="3">
        <f>IF(X42="",Z41,Telai!BQ33)</f>
        <v>0.15</v>
      </c>
    </row>
    <row r="43" spans="1:26">
      <c r="A43" s="1">
        <f>MAX(Dati!B13:M13)+I1</f>
        <v>26.3</v>
      </c>
      <c r="B43" s="3">
        <f>B42</f>
        <v>0.15</v>
      </c>
      <c r="D43" s="3">
        <f>IF(Telai!G34="","",ABS(Telai!G34))</f>
        <v>3.1214999999999993</v>
      </c>
      <c r="E43" s="3">
        <f t="shared" si="0"/>
        <v>27.860749999999999</v>
      </c>
      <c r="F43" s="3">
        <f>IF(D43="",F42,Telai!D34)</f>
        <v>2.35</v>
      </c>
      <c r="H43" s="3">
        <f>IF(Telai!T34="","",ABS(Telai!T34))</f>
        <v>2.7824999999999998</v>
      </c>
      <c r="I43" s="3">
        <f t="shared" si="1"/>
        <v>27.69125</v>
      </c>
      <c r="J43" s="3">
        <f>IF(H43="",J42,Telai!Q34)</f>
        <v>2.35</v>
      </c>
      <c r="L43" s="3">
        <f>IF(Telai!AG34="","",ABS(Telai!AG34))</f>
        <v>2.2489999999999997</v>
      </c>
      <c r="M43" s="3">
        <f t="shared" si="2"/>
        <v>27.424500000000002</v>
      </c>
      <c r="N43" s="3">
        <f>IF(L43="",N42,Telai!AD34)</f>
        <v>2.35</v>
      </c>
      <c r="P43" s="3">
        <f>IF(Telai!AT34="","",ABS(Telai!AT34))</f>
        <v>1.5294999999999996</v>
      </c>
      <c r="Q43" s="3">
        <f t="shared" si="3"/>
        <v>27.06475</v>
      </c>
      <c r="R43" s="3">
        <f>IF(P43="",R42,Telai!AQ34)</f>
        <v>2.35</v>
      </c>
      <c r="T43" s="3">
        <f>IF(Telai!BG34="","",ABS(Telai!BG34))</f>
        <v>0.70399999999999996</v>
      </c>
      <c r="U43" s="3">
        <f t="shared" si="4"/>
        <v>26.652000000000001</v>
      </c>
      <c r="V43" s="3">
        <f>IF(T43="",V42,Telai!BD34)</f>
        <v>2.35</v>
      </c>
      <c r="X43" s="3">
        <f>IF(Telai!BT34="","",ABS(Telai!BT34))</f>
        <v>0.70399999999999996</v>
      </c>
      <c r="Y43" s="3">
        <f t="shared" si="5"/>
        <v>26.652000000000001</v>
      </c>
      <c r="Z43" s="3">
        <f>IF(X43="",Z42,Telai!BQ34)</f>
        <v>2.35</v>
      </c>
    </row>
    <row r="44" spans="1:26">
      <c r="A44" s="1">
        <f>$A$43</f>
        <v>26.3</v>
      </c>
      <c r="B44" s="3">
        <f>B45</f>
        <v>15.85</v>
      </c>
      <c r="D44" s="3">
        <f>IF(Telai!G35="","",ABS(Telai!G35))</f>
        <v>1.52</v>
      </c>
      <c r="E44" s="3">
        <f t="shared" si="0"/>
        <v>27.060000000000002</v>
      </c>
      <c r="F44" s="3">
        <f>IF(D44="",F43,Telai!D35)</f>
        <v>4.55</v>
      </c>
      <c r="H44" s="3">
        <f>IF(Telai!T35="","",ABS(Telai!T35))</f>
        <v>1.3680000000000001</v>
      </c>
      <c r="I44" s="3">
        <f t="shared" si="1"/>
        <v>26.984000000000002</v>
      </c>
      <c r="J44" s="3">
        <f>IF(H44="",J43,Telai!Q35)</f>
        <v>4.55</v>
      </c>
      <c r="L44" s="3">
        <f>IF(Telai!AG35="","",ABS(Telai!AG35))</f>
        <v>1.117</v>
      </c>
      <c r="M44" s="3">
        <f t="shared" si="2"/>
        <v>26.858499999999999</v>
      </c>
      <c r="N44" s="3">
        <f>IF(L44="",N43,Telai!AD35)</f>
        <v>4.55</v>
      </c>
      <c r="P44" s="3">
        <f>IF(Telai!AT35="","",ABS(Telai!AT35))</f>
        <v>0.77200000000000002</v>
      </c>
      <c r="Q44" s="3">
        <f t="shared" si="3"/>
        <v>26.686</v>
      </c>
      <c r="R44" s="3">
        <f>IF(P44="",R43,Telai!AQ35)</f>
        <v>4.55</v>
      </c>
      <c r="T44" s="3">
        <f>IF(Telai!BG35="","",ABS(Telai!BG35))</f>
        <v>0.36599999999999999</v>
      </c>
      <c r="U44" s="3">
        <f t="shared" si="4"/>
        <v>26.483000000000001</v>
      </c>
      <c r="V44" s="3">
        <f>IF(T44="",V43,Telai!BD35)</f>
        <v>4.55</v>
      </c>
      <c r="X44" s="3">
        <f>IF(Telai!BT35="","",ABS(Telai!BT35))</f>
        <v>0.36599999999999999</v>
      </c>
      <c r="Y44" s="3">
        <f t="shared" si="5"/>
        <v>26.483000000000001</v>
      </c>
      <c r="Z44" s="3">
        <f>IF(X44="",Z43,Telai!BQ35)</f>
        <v>4.55</v>
      </c>
    </row>
    <row r="45" spans="1:26">
      <c r="A45" s="3">
        <f>E62</f>
        <v>30.462499999999999</v>
      </c>
      <c r="B45" s="3">
        <f>MAX(F42:F62,J42:J62,N42:N62,R42:R62,V42:V62,Z42:Z62)</f>
        <v>15.85</v>
      </c>
      <c r="D45" s="3">
        <f>IF(Telai!G36="","",ABS(Telai!G36))</f>
        <v>0.59250000000000025</v>
      </c>
      <c r="E45" s="3">
        <f t="shared" si="0"/>
        <v>26.596250000000001</v>
      </c>
      <c r="F45" s="3">
        <f>IF(D45="",F44,Telai!D36)</f>
        <v>6.65</v>
      </c>
      <c r="H45" s="3">
        <f>IF(Telai!T36="","",ABS(Telai!T36))</f>
        <v>0.49850000000000061</v>
      </c>
      <c r="I45" s="3">
        <f t="shared" si="1"/>
        <v>26.549250000000001</v>
      </c>
      <c r="J45" s="3">
        <f>IF(H45="",J44,Telai!Q36)</f>
        <v>6.65</v>
      </c>
      <c r="L45" s="3">
        <f>IF(Telai!AG36="","",ABS(Telai!AG36))</f>
        <v>0.37800000000000034</v>
      </c>
      <c r="M45" s="3">
        <f t="shared" si="2"/>
        <v>26.489000000000001</v>
      </c>
      <c r="N45" s="3">
        <f>IF(L45="",N44,Telai!AD36)</f>
        <v>6.65</v>
      </c>
      <c r="P45" s="3">
        <f>IF(Telai!AT36="","",ABS(Telai!AT36))</f>
        <v>0.23450000000000015</v>
      </c>
      <c r="Q45" s="3">
        <f t="shared" si="3"/>
        <v>26.417249999999999</v>
      </c>
      <c r="R45" s="3">
        <f>IF(P45="",R44,Telai!AQ36)</f>
        <v>6.65</v>
      </c>
      <c r="T45" s="3">
        <f>IF(Telai!BG36="","",ABS(Telai!BG36))</f>
        <v>9.050000000000008E-2</v>
      </c>
      <c r="U45" s="3">
        <f t="shared" si="4"/>
        <v>26.34525</v>
      </c>
      <c r="V45" s="3">
        <f>IF(T45="",V44,Telai!BD36)</f>
        <v>6.65</v>
      </c>
      <c r="X45" s="3">
        <f>IF(Telai!BT36="","",ABS(Telai!BT36))</f>
        <v>9.050000000000008E-2</v>
      </c>
      <c r="Y45" s="3">
        <f t="shared" si="5"/>
        <v>26.34525</v>
      </c>
      <c r="Z45" s="3">
        <f>IF(X45="",Z44,Telai!BQ36)</f>
        <v>6.65</v>
      </c>
    </row>
    <row r="46" spans="1:26">
      <c r="D46" s="3">
        <f>IF(Telai!G37="","",ABS(Telai!G37))</f>
        <v>2.7050000000000001</v>
      </c>
      <c r="E46" s="3">
        <f t="shared" si="0"/>
        <v>27.6525</v>
      </c>
      <c r="F46" s="3">
        <f>IF(D46="",F45,Telai!D37)</f>
        <v>8.75</v>
      </c>
      <c r="H46" s="3">
        <f>IF(Telai!T37="","",ABS(Telai!T37))</f>
        <v>2.3650000000000002</v>
      </c>
      <c r="I46" s="3">
        <f t="shared" si="1"/>
        <v>27.482500000000002</v>
      </c>
      <c r="J46" s="3">
        <f>IF(H46="",J45,Telai!Q37)</f>
        <v>8.75</v>
      </c>
      <c r="L46" s="3">
        <f>IF(Telai!AG37="","",ABS(Telai!AG37))</f>
        <v>1.873</v>
      </c>
      <c r="M46" s="3">
        <f t="shared" si="2"/>
        <v>27.236499999999999</v>
      </c>
      <c r="N46" s="3">
        <f>IF(L46="",N45,Telai!AD37)</f>
        <v>8.75</v>
      </c>
      <c r="P46" s="3">
        <f>IF(Telai!AT37="","",ABS(Telai!AT37))</f>
        <v>1.2410000000000001</v>
      </c>
      <c r="Q46" s="3">
        <f t="shared" si="3"/>
        <v>26.920500000000001</v>
      </c>
      <c r="R46" s="3">
        <f>IF(P46="",R45,Telai!AQ37)</f>
        <v>8.75</v>
      </c>
      <c r="T46" s="3">
        <f>IF(Telai!BG37="","",ABS(Telai!BG37))</f>
        <v>0.54700000000000004</v>
      </c>
      <c r="U46" s="3">
        <f t="shared" si="4"/>
        <v>26.573499999999999</v>
      </c>
      <c r="V46" s="3">
        <f>IF(T46="",V45,Telai!BD37)</f>
        <v>8.75</v>
      </c>
      <c r="X46" s="3">
        <f>IF(Telai!BT37="","",ABS(Telai!BT37))</f>
        <v>0.54700000000000004</v>
      </c>
      <c r="Y46" s="3">
        <f t="shared" si="5"/>
        <v>26.573499999999999</v>
      </c>
      <c r="Z46" s="3">
        <f>IF(X46="",Z45,Telai!BQ37)</f>
        <v>8.75</v>
      </c>
    </row>
    <row r="47" spans="1:26">
      <c r="D47" s="3">
        <f>IF(Telai!G38="","",ABS(Telai!G38))</f>
        <v>2.9928675078864346</v>
      </c>
      <c r="E47" s="3">
        <f t="shared" si="0"/>
        <v>27.796433753943219</v>
      </c>
      <c r="F47" s="3">
        <f>IF(D47="",F46,Telai!D38)</f>
        <v>9.1198738170346996</v>
      </c>
      <c r="H47" s="3">
        <f>IF(Telai!T38="","",ABS(Telai!T38))</f>
        <v>2.6184164037854885</v>
      </c>
      <c r="I47" s="3">
        <f t="shared" si="1"/>
        <v>27.609208201892745</v>
      </c>
      <c r="J47" s="3">
        <f>IF(H47="",J46,Telai!Q38)</f>
        <v>9.1198738170346996</v>
      </c>
      <c r="L47" s="3">
        <f>IF(Telai!AG38="","",ABS(Telai!AG38))</f>
        <v>2.0751624605678227</v>
      </c>
      <c r="M47" s="3">
        <f t="shared" si="2"/>
        <v>27.337581230283913</v>
      </c>
      <c r="N47" s="3">
        <f>IF(L47="",N46,Telai!AD38)</f>
        <v>9.1198738170346996</v>
      </c>
      <c r="P47" s="3">
        <f>IF(Telai!AT38="","",ABS(Telai!AT38))</f>
        <v>1.3758454258675077</v>
      </c>
      <c r="Q47" s="3">
        <f t="shared" si="3"/>
        <v>26.987922712933756</v>
      </c>
      <c r="R47" s="3">
        <f>IF(P47="",R46,Telai!AQ38)</f>
        <v>9.1198738170346996</v>
      </c>
      <c r="T47" s="3">
        <f>IF(Telai!BG38="","",ABS(Telai!BG38))</f>
        <v>0.60681388012618287</v>
      </c>
      <c r="U47" s="3">
        <f t="shared" si="4"/>
        <v>26.603406940063092</v>
      </c>
      <c r="V47" s="3">
        <f>IF(T47="",V46,Telai!BD38)</f>
        <v>9.1198738170346996</v>
      </c>
      <c r="X47" s="3">
        <f>IF(Telai!BT38="","",ABS(Telai!BT38))</f>
        <v>0.60681388012618287</v>
      </c>
      <c r="Y47" s="3">
        <f t="shared" si="5"/>
        <v>26.603406940063092</v>
      </c>
      <c r="Z47" s="3">
        <f>IF(X47="",Z46,Telai!BQ38)</f>
        <v>9.1198738170346996</v>
      </c>
    </row>
    <row r="48" spans="1:26">
      <c r="D48" s="3">
        <f>IF(Telai!G39="","",ABS(Telai!G39))</f>
        <v>5.4290000000000003</v>
      </c>
      <c r="E48" s="3">
        <f t="shared" si="0"/>
        <v>29.014500000000002</v>
      </c>
      <c r="F48" s="3">
        <f>IF(D48="",F47,Telai!D39)</f>
        <v>12.25</v>
      </c>
      <c r="H48" s="3">
        <f>IF(Telai!T39="","",ABS(Telai!T39))</f>
        <v>4.7629999999999999</v>
      </c>
      <c r="I48" s="3">
        <f t="shared" si="1"/>
        <v>28.6815</v>
      </c>
      <c r="J48" s="3">
        <f>IF(H48="",J47,Telai!Q39)</f>
        <v>12.25</v>
      </c>
      <c r="L48" s="3">
        <f>IF(Telai!AG39="","",ABS(Telai!AG39))</f>
        <v>3.786</v>
      </c>
      <c r="M48" s="3">
        <f t="shared" si="2"/>
        <v>28.193000000000001</v>
      </c>
      <c r="N48" s="3">
        <f>IF(L48="",N47,Telai!AD39)</f>
        <v>12.25</v>
      </c>
      <c r="P48" s="3">
        <f>IF(Telai!AT39="","",ABS(Telai!AT39))</f>
        <v>2.5169999999999999</v>
      </c>
      <c r="Q48" s="3">
        <f t="shared" si="3"/>
        <v>27.558500000000002</v>
      </c>
      <c r="R48" s="3">
        <f>IF(P48="",R47,Telai!AQ39)</f>
        <v>12.25</v>
      </c>
      <c r="T48" s="3">
        <f>IF(Telai!BG39="","",ABS(Telai!BG39))</f>
        <v>1.113</v>
      </c>
      <c r="U48" s="3">
        <f t="shared" si="4"/>
        <v>26.8565</v>
      </c>
      <c r="V48" s="3">
        <f>IF(T48="",V47,Telai!BD39)</f>
        <v>12.25</v>
      </c>
      <c r="X48" s="3">
        <f>IF(Telai!BT39="","",ABS(Telai!BT39))</f>
        <v>1.113</v>
      </c>
      <c r="Y48" s="3">
        <f t="shared" si="5"/>
        <v>26.8565</v>
      </c>
      <c r="Z48" s="3">
        <f>IF(X48="",Z47,Telai!BQ39)</f>
        <v>12.25</v>
      </c>
    </row>
    <row r="49" spans="1:26">
      <c r="D49" s="3">
        <f>IF(Telai!G40="","",ABS(Telai!G40))</f>
        <v>6.8770000000000007</v>
      </c>
      <c r="E49" s="3">
        <f t="shared" si="0"/>
        <v>29.738500000000002</v>
      </c>
      <c r="F49" s="3">
        <f>IF(D49="",F48,Telai!D40)</f>
        <v>14.05</v>
      </c>
      <c r="H49" s="3">
        <f>IF(Telai!T40="","",ABS(Telai!T40))</f>
        <v>6.0400000000000009</v>
      </c>
      <c r="I49" s="3">
        <f t="shared" si="1"/>
        <v>29.32</v>
      </c>
      <c r="J49" s="3">
        <f>IF(H49="",J48,Telai!Q40)</f>
        <v>14.05</v>
      </c>
      <c r="L49" s="3">
        <f>IF(Telai!AG40="","",ABS(Telai!AG40))</f>
        <v>4.806</v>
      </c>
      <c r="M49" s="3">
        <f t="shared" si="2"/>
        <v>28.702999999999999</v>
      </c>
      <c r="N49" s="3">
        <f>IF(L49="",N48,Telai!AD40)</f>
        <v>14.05</v>
      </c>
      <c r="P49" s="3">
        <f>IF(Telai!AT40="","",ABS(Telai!AT40))</f>
        <v>3.1990000000000003</v>
      </c>
      <c r="Q49" s="3">
        <f t="shared" si="3"/>
        <v>27.8995</v>
      </c>
      <c r="R49" s="3">
        <f>IF(P49="",R48,Telai!AQ40)</f>
        <v>14.05</v>
      </c>
      <c r="T49" s="3">
        <f>IF(Telai!BG40="","",ABS(Telai!BG40))</f>
        <v>1.4180000000000001</v>
      </c>
      <c r="U49" s="3">
        <f t="shared" si="4"/>
        <v>27.009</v>
      </c>
      <c r="V49" s="3">
        <f>IF(T49="",V48,Telai!BD40)</f>
        <v>14.05</v>
      </c>
      <c r="X49" s="3">
        <f>IF(Telai!BT40="","",ABS(Telai!BT40))</f>
        <v>1.4180000000000001</v>
      </c>
      <c r="Y49" s="3">
        <f t="shared" si="5"/>
        <v>27.009</v>
      </c>
      <c r="Z49" s="3">
        <f>IF(X49="",Z48,Telai!BQ40)</f>
        <v>14.05</v>
      </c>
    </row>
    <row r="50" spans="1:26">
      <c r="D50" s="3">
        <f>IF(Telai!G41="","",ABS(Telai!G41))</f>
        <v>8.3249999999999993</v>
      </c>
      <c r="E50" s="3">
        <f t="shared" si="0"/>
        <v>30.462499999999999</v>
      </c>
      <c r="F50" s="3">
        <f>IF(D50="",F49,Telai!D41)</f>
        <v>15.85</v>
      </c>
      <c r="H50" s="3">
        <f>IF(Telai!T41="","",ABS(Telai!T41))</f>
        <v>7.3170000000000002</v>
      </c>
      <c r="I50" s="3">
        <f t="shared" si="1"/>
        <v>29.958500000000001</v>
      </c>
      <c r="J50" s="3">
        <f>IF(H50="",J49,Telai!Q41)</f>
        <v>15.85</v>
      </c>
      <c r="L50" s="3">
        <f>IF(Telai!AG41="","",ABS(Telai!AG41))</f>
        <v>5.8259999999999996</v>
      </c>
      <c r="M50" s="3">
        <f t="shared" si="2"/>
        <v>29.213000000000001</v>
      </c>
      <c r="N50" s="3">
        <f>IF(L50="",N49,Telai!AD41)</f>
        <v>15.85</v>
      </c>
      <c r="P50" s="3">
        <f>IF(Telai!AT41="","",ABS(Telai!AT41))</f>
        <v>3.8809999999999998</v>
      </c>
      <c r="Q50" s="3">
        <f t="shared" si="3"/>
        <v>28.240500000000001</v>
      </c>
      <c r="R50" s="3">
        <f>IF(P50="",R49,Telai!AQ41)</f>
        <v>15.85</v>
      </c>
      <c r="T50" s="3">
        <f>IF(Telai!BG41="","",ABS(Telai!BG41))</f>
        <v>1.7230000000000001</v>
      </c>
      <c r="U50" s="3">
        <f t="shared" si="4"/>
        <v>27.1615</v>
      </c>
      <c r="V50" s="3">
        <f>IF(T50="",V49,Telai!BD41)</f>
        <v>15.85</v>
      </c>
      <c r="X50" s="3">
        <f>IF(Telai!BT41="","",ABS(Telai!BT41))</f>
        <v>1.7230000000000001</v>
      </c>
      <c r="Y50" s="3">
        <f t="shared" si="5"/>
        <v>27.1615</v>
      </c>
      <c r="Z50" s="3">
        <f>IF(X50="",Z49,Telai!BQ41)</f>
        <v>15.85</v>
      </c>
    </row>
    <row r="51" spans="1:26">
      <c r="D51" s="3" t="str">
        <f>IF(Telai!G42="","",ABS(Telai!G42))</f>
        <v/>
      </c>
      <c r="E51" s="3">
        <f t="shared" si="0"/>
        <v>30.462499999999999</v>
      </c>
      <c r="F51" s="3">
        <f>IF(D51="",F50,Telai!D42)</f>
        <v>15.85</v>
      </c>
      <c r="H51" s="3" t="str">
        <f>IF(Telai!T42="","",ABS(Telai!T42))</f>
        <v/>
      </c>
      <c r="I51" s="3">
        <f t="shared" si="1"/>
        <v>29.958500000000001</v>
      </c>
      <c r="J51" s="3">
        <f>IF(H51="",J50,Telai!Q42)</f>
        <v>15.85</v>
      </c>
      <c r="L51" s="3" t="str">
        <f>IF(Telai!AG42="","",ABS(Telai!AG42))</f>
        <v/>
      </c>
      <c r="M51" s="3">
        <f t="shared" si="2"/>
        <v>29.213000000000001</v>
      </c>
      <c r="N51" s="3">
        <f>IF(L51="",N50,Telai!AD42)</f>
        <v>15.85</v>
      </c>
      <c r="P51" s="3" t="str">
        <f>IF(Telai!AT42="","",ABS(Telai!AT42))</f>
        <v/>
      </c>
      <c r="Q51" s="3">
        <f t="shared" si="3"/>
        <v>28.240500000000001</v>
      </c>
      <c r="R51" s="3">
        <f>IF(P51="",R50,Telai!AQ42)</f>
        <v>15.85</v>
      </c>
      <c r="T51" s="3" t="str">
        <f>IF(Telai!BG42="","",ABS(Telai!BG42))</f>
        <v/>
      </c>
      <c r="U51" s="3">
        <f t="shared" si="4"/>
        <v>27.1615</v>
      </c>
      <c r="V51" s="3">
        <f>IF(T51="",V50,Telai!BD42)</f>
        <v>15.85</v>
      </c>
      <c r="X51" s="3" t="str">
        <f>IF(Telai!BT42="","",ABS(Telai!BT42))</f>
        <v/>
      </c>
      <c r="Y51" s="3">
        <f t="shared" si="5"/>
        <v>27.1615</v>
      </c>
      <c r="Z51" s="3">
        <f>IF(X51="",Z50,Telai!BQ42)</f>
        <v>15.85</v>
      </c>
    </row>
    <row r="52" spans="1:26">
      <c r="D52" s="3" t="str">
        <f>IF(Telai!G43="","",ABS(Telai!G43))</f>
        <v/>
      </c>
      <c r="E52" s="3">
        <f t="shared" si="0"/>
        <v>30.462499999999999</v>
      </c>
      <c r="F52" s="3">
        <f>IF(D52="",F51,Telai!D43)</f>
        <v>15.85</v>
      </c>
      <c r="H52" s="3" t="str">
        <f>IF(Telai!T43="","",ABS(Telai!T43))</f>
        <v/>
      </c>
      <c r="I52" s="3">
        <f t="shared" si="1"/>
        <v>29.958500000000001</v>
      </c>
      <c r="J52" s="3">
        <f>IF(H52="",J51,Telai!Q43)</f>
        <v>15.85</v>
      </c>
      <c r="L52" s="3" t="str">
        <f>IF(Telai!AG43="","",ABS(Telai!AG43))</f>
        <v/>
      </c>
      <c r="M52" s="3">
        <f t="shared" si="2"/>
        <v>29.213000000000001</v>
      </c>
      <c r="N52" s="3">
        <f>IF(L52="",N51,Telai!AD43)</f>
        <v>15.85</v>
      </c>
      <c r="P52" s="3" t="str">
        <f>IF(Telai!AT43="","",ABS(Telai!AT43))</f>
        <v/>
      </c>
      <c r="Q52" s="3">
        <f t="shared" si="3"/>
        <v>28.240500000000001</v>
      </c>
      <c r="R52" s="3">
        <f>IF(P52="",R51,Telai!AQ43)</f>
        <v>15.85</v>
      </c>
      <c r="T52" s="3" t="str">
        <f>IF(Telai!BG43="","",ABS(Telai!BG43))</f>
        <v/>
      </c>
      <c r="U52" s="3">
        <f t="shared" si="4"/>
        <v>27.1615</v>
      </c>
      <c r="V52" s="3">
        <f>IF(T52="",V51,Telai!BD43)</f>
        <v>15.85</v>
      </c>
      <c r="X52" s="3" t="str">
        <f>IF(Telai!BT43="","",ABS(Telai!BT43))</f>
        <v/>
      </c>
      <c r="Y52" s="3">
        <f t="shared" si="5"/>
        <v>27.1615</v>
      </c>
      <c r="Z52" s="3">
        <f>IF(X52="",Z51,Telai!BQ43)</f>
        <v>15.85</v>
      </c>
    </row>
    <row r="53" spans="1:26">
      <c r="D53" s="3" t="str">
        <f>IF(Telai!G44="","",ABS(Telai!G44))</f>
        <v/>
      </c>
      <c r="E53" s="3">
        <f t="shared" si="0"/>
        <v>30.462499999999999</v>
      </c>
      <c r="F53" s="3">
        <f>IF(D53="",F52,Telai!D44)</f>
        <v>15.85</v>
      </c>
      <c r="H53" s="3" t="str">
        <f>IF(Telai!T44="","",ABS(Telai!T44))</f>
        <v/>
      </c>
      <c r="I53" s="3">
        <f t="shared" si="1"/>
        <v>29.958500000000001</v>
      </c>
      <c r="J53" s="3">
        <f>IF(H53="",J52,Telai!Q44)</f>
        <v>15.85</v>
      </c>
      <c r="L53" s="3" t="str">
        <f>IF(Telai!AG44="","",ABS(Telai!AG44))</f>
        <v/>
      </c>
      <c r="M53" s="3">
        <f t="shared" si="2"/>
        <v>29.213000000000001</v>
      </c>
      <c r="N53" s="3">
        <f>IF(L53="",N52,Telai!AD44)</f>
        <v>15.85</v>
      </c>
      <c r="P53" s="3" t="str">
        <f>IF(Telai!AT44="","",ABS(Telai!AT44))</f>
        <v/>
      </c>
      <c r="Q53" s="3">
        <f t="shared" si="3"/>
        <v>28.240500000000001</v>
      </c>
      <c r="R53" s="3">
        <f>IF(P53="",R52,Telai!AQ44)</f>
        <v>15.85</v>
      </c>
      <c r="T53" s="3" t="str">
        <f>IF(Telai!BG44="","",ABS(Telai!BG44))</f>
        <v/>
      </c>
      <c r="U53" s="3">
        <f t="shared" si="4"/>
        <v>27.1615</v>
      </c>
      <c r="V53" s="3">
        <f>IF(T53="",V52,Telai!BD44)</f>
        <v>15.85</v>
      </c>
      <c r="X53" s="3" t="str">
        <f>IF(Telai!BT44="","",ABS(Telai!BT44))</f>
        <v/>
      </c>
      <c r="Y53" s="3">
        <f t="shared" si="5"/>
        <v>27.1615</v>
      </c>
      <c r="Z53" s="3">
        <f>IF(X53="",Z52,Telai!BQ44)</f>
        <v>15.85</v>
      </c>
    </row>
    <row r="54" spans="1:26">
      <c r="D54" s="3" t="str">
        <f>IF(Telai!G45="","",ABS(Telai!G45))</f>
        <v/>
      </c>
      <c r="E54" s="3">
        <f t="shared" si="0"/>
        <v>30.462499999999999</v>
      </c>
      <c r="F54" s="3">
        <f>IF(D54="",F53,Telai!D45)</f>
        <v>15.85</v>
      </c>
      <c r="H54" s="3" t="str">
        <f>IF(Telai!T45="","",ABS(Telai!T45))</f>
        <v/>
      </c>
      <c r="I54" s="3">
        <f t="shared" si="1"/>
        <v>29.958500000000001</v>
      </c>
      <c r="J54" s="3">
        <f>IF(H54="",J53,Telai!Q45)</f>
        <v>15.85</v>
      </c>
      <c r="L54" s="3" t="str">
        <f>IF(Telai!AG45="","",ABS(Telai!AG45))</f>
        <v/>
      </c>
      <c r="M54" s="3">
        <f t="shared" si="2"/>
        <v>29.213000000000001</v>
      </c>
      <c r="N54" s="3">
        <f>IF(L54="",N53,Telai!AD45)</f>
        <v>15.85</v>
      </c>
      <c r="P54" s="3" t="str">
        <f>IF(Telai!AT45="","",ABS(Telai!AT45))</f>
        <v/>
      </c>
      <c r="Q54" s="3">
        <f t="shared" si="3"/>
        <v>28.240500000000001</v>
      </c>
      <c r="R54" s="3">
        <f>IF(P54="",R53,Telai!AQ45)</f>
        <v>15.85</v>
      </c>
      <c r="T54" s="3" t="str">
        <f>IF(Telai!BG45="","",ABS(Telai!BG45))</f>
        <v/>
      </c>
      <c r="U54" s="3">
        <f t="shared" si="4"/>
        <v>27.1615</v>
      </c>
      <c r="V54" s="3">
        <f>IF(T54="",V53,Telai!BD45)</f>
        <v>15.85</v>
      </c>
      <c r="X54" s="3" t="str">
        <f>IF(Telai!BT45="","",ABS(Telai!BT45))</f>
        <v/>
      </c>
      <c r="Y54" s="3">
        <f t="shared" si="5"/>
        <v>27.1615</v>
      </c>
      <c r="Z54" s="3">
        <f>IF(X54="",Z53,Telai!BQ45)</f>
        <v>15.85</v>
      </c>
    </row>
    <row r="55" spans="1:26">
      <c r="D55" s="3" t="str">
        <f>IF(Telai!G46="","",ABS(Telai!G46))</f>
        <v/>
      </c>
      <c r="E55" s="3">
        <f t="shared" si="0"/>
        <v>30.462499999999999</v>
      </c>
      <c r="F55" s="3">
        <f>IF(D55="",F54,Telai!D46)</f>
        <v>15.85</v>
      </c>
      <c r="H55" s="3" t="str">
        <f>IF(Telai!T46="","",ABS(Telai!T46))</f>
        <v/>
      </c>
      <c r="I55" s="3">
        <f t="shared" si="1"/>
        <v>29.958500000000001</v>
      </c>
      <c r="J55" s="3">
        <f>IF(H55="",J54,Telai!Q46)</f>
        <v>15.85</v>
      </c>
      <c r="L55" s="3" t="str">
        <f>IF(Telai!AG46="","",ABS(Telai!AG46))</f>
        <v/>
      </c>
      <c r="M55" s="3">
        <f t="shared" si="2"/>
        <v>29.213000000000001</v>
      </c>
      <c r="N55" s="3">
        <f>IF(L55="",N54,Telai!AD46)</f>
        <v>15.85</v>
      </c>
      <c r="P55" s="3" t="str">
        <f>IF(Telai!AT46="","",ABS(Telai!AT46))</f>
        <v/>
      </c>
      <c r="Q55" s="3">
        <f t="shared" si="3"/>
        <v>28.240500000000001</v>
      </c>
      <c r="R55" s="3">
        <f>IF(P55="",R54,Telai!AQ46)</f>
        <v>15.85</v>
      </c>
      <c r="T55" s="3" t="str">
        <f>IF(Telai!BG46="","",ABS(Telai!BG46))</f>
        <v/>
      </c>
      <c r="U55" s="3">
        <f t="shared" si="4"/>
        <v>27.1615</v>
      </c>
      <c r="V55" s="3">
        <f>IF(T55="",V54,Telai!BD46)</f>
        <v>15.85</v>
      </c>
      <c r="X55" s="3" t="str">
        <f>IF(Telai!BT46="","",ABS(Telai!BT46))</f>
        <v/>
      </c>
      <c r="Y55" s="3">
        <f t="shared" si="5"/>
        <v>27.1615</v>
      </c>
      <c r="Z55" s="3">
        <f>IF(X55="",Z54,Telai!BQ46)</f>
        <v>15.85</v>
      </c>
    </row>
    <row r="56" spans="1:26">
      <c r="D56" s="3" t="str">
        <f>IF(Telai!G47="","",ABS(Telai!G47))</f>
        <v/>
      </c>
      <c r="E56" s="3">
        <f t="shared" si="0"/>
        <v>30.462499999999999</v>
      </c>
      <c r="F56" s="3">
        <f>IF(D56="",F55,Telai!D47)</f>
        <v>15.85</v>
      </c>
      <c r="H56" s="3" t="str">
        <f>IF(Telai!T47="","",ABS(Telai!T47))</f>
        <v/>
      </c>
      <c r="I56" s="3">
        <f t="shared" si="1"/>
        <v>29.958500000000001</v>
      </c>
      <c r="J56" s="3">
        <f>IF(H56="",J55,Telai!Q47)</f>
        <v>15.85</v>
      </c>
      <c r="L56" s="3" t="str">
        <f>IF(Telai!AG47="","",ABS(Telai!AG47))</f>
        <v/>
      </c>
      <c r="M56" s="3">
        <f t="shared" si="2"/>
        <v>29.213000000000001</v>
      </c>
      <c r="N56" s="3">
        <f>IF(L56="",N55,Telai!AD47)</f>
        <v>15.85</v>
      </c>
      <c r="P56" s="3" t="str">
        <f>IF(Telai!AT47="","",ABS(Telai!AT47))</f>
        <v/>
      </c>
      <c r="Q56" s="3">
        <f t="shared" si="3"/>
        <v>28.240500000000001</v>
      </c>
      <c r="R56" s="3">
        <f>IF(P56="",R55,Telai!AQ47)</f>
        <v>15.85</v>
      </c>
      <c r="T56" s="3" t="str">
        <f>IF(Telai!BG47="","",ABS(Telai!BG47))</f>
        <v/>
      </c>
      <c r="U56" s="3">
        <f t="shared" si="4"/>
        <v>27.1615</v>
      </c>
      <c r="V56" s="3">
        <f>IF(T56="",V55,Telai!BD47)</f>
        <v>15.85</v>
      </c>
      <c r="X56" s="3" t="str">
        <f>IF(Telai!BT47="","",ABS(Telai!BT47))</f>
        <v/>
      </c>
      <c r="Y56" s="3">
        <f t="shared" si="5"/>
        <v>27.1615</v>
      </c>
      <c r="Z56" s="3">
        <f>IF(X56="",Z55,Telai!BQ47)</f>
        <v>15.85</v>
      </c>
    </row>
    <row r="57" spans="1:26">
      <c r="D57" s="3" t="str">
        <f>IF(Telai!G48="","",ABS(Telai!G48))</f>
        <v/>
      </c>
      <c r="E57" s="3">
        <f t="shared" si="0"/>
        <v>30.462499999999999</v>
      </c>
      <c r="F57" s="3">
        <f>IF(D57="",F56,Telai!D48)</f>
        <v>15.85</v>
      </c>
      <c r="H57" s="3" t="str">
        <f>IF(Telai!T48="","",ABS(Telai!T48))</f>
        <v/>
      </c>
      <c r="I57" s="3">
        <f t="shared" si="1"/>
        <v>29.958500000000001</v>
      </c>
      <c r="J57" s="3">
        <f>IF(H57="",J56,Telai!Q48)</f>
        <v>15.85</v>
      </c>
      <c r="L57" s="3" t="str">
        <f>IF(Telai!AG48="","",ABS(Telai!AG48))</f>
        <v/>
      </c>
      <c r="M57" s="3">
        <f t="shared" si="2"/>
        <v>29.213000000000001</v>
      </c>
      <c r="N57" s="3">
        <f>IF(L57="",N56,Telai!AD48)</f>
        <v>15.85</v>
      </c>
      <c r="P57" s="3" t="str">
        <f>IF(Telai!AT48="","",ABS(Telai!AT48))</f>
        <v/>
      </c>
      <c r="Q57" s="3">
        <f t="shared" si="3"/>
        <v>28.240500000000001</v>
      </c>
      <c r="R57" s="3">
        <f>IF(P57="",R56,Telai!AQ48)</f>
        <v>15.85</v>
      </c>
      <c r="T57" s="3" t="str">
        <f>IF(Telai!BG48="","",ABS(Telai!BG48))</f>
        <v/>
      </c>
      <c r="U57" s="3">
        <f t="shared" si="4"/>
        <v>27.1615</v>
      </c>
      <c r="V57" s="3">
        <f>IF(T57="",V56,Telai!BD48)</f>
        <v>15.85</v>
      </c>
      <c r="X57" s="3" t="str">
        <f>IF(Telai!BT48="","",ABS(Telai!BT48))</f>
        <v/>
      </c>
      <c r="Y57" s="3">
        <f t="shared" si="5"/>
        <v>27.1615</v>
      </c>
      <c r="Z57" s="3">
        <f>IF(X57="",Z56,Telai!BQ48)</f>
        <v>15.85</v>
      </c>
    </row>
    <row r="58" spans="1:26">
      <c r="D58" s="3" t="str">
        <f>IF(Telai!G49="","",ABS(Telai!G49))</f>
        <v/>
      </c>
      <c r="E58" s="3">
        <f t="shared" si="0"/>
        <v>30.462499999999999</v>
      </c>
      <c r="F58" s="3">
        <f>IF(D58="",F57,Telai!D49)</f>
        <v>15.85</v>
      </c>
      <c r="H58" s="3" t="str">
        <f>IF(Telai!T49="","",ABS(Telai!T49))</f>
        <v/>
      </c>
      <c r="I58" s="3">
        <f t="shared" si="1"/>
        <v>29.958500000000001</v>
      </c>
      <c r="J58" s="3">
        <f>IF(H58="",J57,Telai!Q49)</f>
        <v>15.85</v>
      </c>
      <c r="L58" s="3" t="str">
        <f>IF(Telai!AG49="","",ABS(Telai!AG49))</f>
        <v/>
      </c>
      <c r="M58" s="3">
        <f t="shared" si="2"/>
        <v>29.213000000000001</v>
      </c>
      <c r="N58" s="3">
        <f>IF(L58="",N57,Telai!AD49)</f>
        <v>15.85</v>
      </c>
      <c r="P58" s="3" t="str">
        <f>IF(Telai!AT49="","",ABS(Telai!AT49))</f>
        <v/>
      </c>
      <c r="Q58" s="3">
        <f t="shared" si="3"/>
        <v>28.240500000000001</v>
      </c>
      <c r="R58" s="3">
        <f>IF(P58="",R57,Telai!AQ49)</f>
        <v>15.85</v>
      </c>
      <c r="T58" s="3" t="str">
        <f>IF(Telai!BG49="","",ABS(Telai!BG49))</f>
        <v/>
      </c>
      <c r="U58" s="3">
        <f t="shared" si="4"/>
        <v>27.1615</v>
      </c>
      <c r="V58" s="3">
        <f>IF(T58="",V57,Telai!BD49)</f>
        <v>15.85</v>
      </c>
      <c r="X58" s="3" t="str">
        <f>IF(Telai!BT49="","",ABS(Telai!BT49))</f>
        <v/>
      </c>
      <c r="Y58" s="3">
        <f t="shared" si="5"/>
        <v>27.1615</v>
      </c>
      <c r="Z58" s="3">
        <f>IF(X58="",Z57,Telai!BQ49)</f>
        <v>15.85</v>
      </c>
    </row>
    <row r="59" spans="1:26">
      <c r="D59" s="3" t="str">
        <f>IF(Telai!G50="","",ABS(Telai!G50))</f>
        <v/>
      </c>
      <c r="E59" s="3">
        <f t="shared" si="0"/>
        <v>30.462499999999999</v>
      </c>
      <c r="F59" s="3">
        <f>IF(D59="",F58,Telai!D50)</f>
        <v>15.85</v>
      </c>
      <c r="H59" s="3" t="str">
        <f>IF(Telai!T50="","",ABS(Telai!T50))</f>
        <v/>
      </c>
      <c r="I59" s="3">
        <f t="shared" si="1"/>
        <v>29.958500000000001</v>
      </c>
      <c r="J59" s="3">
        <f>IF(H59="",J58,Telai!Q50)</f>
        <v>15.85</v>
      </c>
      <c r="L59" s="3" t="str">
        <f>IF(Telai!AG50="","",ABS(Telai!AG50))</f>
        <v/>
      </c>
      <c r="M59" s="3">
        <f t="shared" si="2"/>
        <v>29.213000000000001</v>
      </c>
      <c r="N59" s="3">
        <f>IF(L59="",N58,Telai!AD50)</f>
        <v>15.85</v>
      </c>
      <c r="P59" s="3" t="str">
        <f>IF(Telai!AT50="","",ABS(Telai!AT50))</f>
        <v/>
      </c>
      <c r="Q59" s="3">
        <f t="shared" si="3"/>
        <v>28.240500000000001</v>
      </c>
      <c r="R59" s="3">
        <f>IF(P59="",R58,Telai!AQ50)</f>
        <v>15.85</v>
      </c>
      <c r="T59" s="3" t="str">
        <f>IF(Telai!BG50="","",ABS(Telai!BG50))</f>
        <v/>
      </c>
      <c r="U59" s="3">
        <f t="shared" si="4"/>
        <v>27.1615</v>
      </c>
      <c r="V59" s="3">
        <f>IF(T59="",V58,Telai!BD50)</f>
        <v>15.85</v>
      </c>
      <c r="X59" s="3" t="str">
        <f>IF(Telai!BT50="","",ABS(Telai!BT50))</f>
        <v/>
      </c>
      <c r="Y59" s="3">
        <f t="shared" si="5"/>
        <v>27.1615</v>
      </c>
      <c r="Z59" s="3">
        <f>IF(X59="",Z58,Telai!BQ50)</f>
        <v>15.85</v>
      </c>
    </row>
    <row r="60" spans="1:26">
      <c r="D60" s="3" t="str">
        <f>IF(Telai!G51="","",ABS(Telai!G51))</f>
        <v/>
      </c>
      <c r="E60" s="3">
        <f t="shared" si="0"/>
        <v>30.462499999999999</v>
      </c>
      <c r="F60" s="3">
        <f>IF(D60="",F59,Telai!D51)</f>
        <v>15.85</v>
      </c>
      <c r="H60" s="3" t="str">
        <f>IF(Telai!T51="","",ABS(Telai!T51))</f>
        <v/>
      </c>
      <c r="I60" s="3">
        <f t="shared" si="1"/>
        <v>29.958500000000001</v>
      </c>
      <c r="J60" s="3">
        <f>IF(H60="",J59,Telai!Q51)</f>
        <v>15.85</v>
      </c>
      <c r="L60" s="3" t="str">
        <f>IF(Telai!AG51="","",ABS(Telai!AG51))</f>
        <v/>
      </c>
      <c r="M60" s="3">
        <f t="shared" si="2"/>
        <v>29.213000000000001</v>
      </c>
      <c r="N60" s="3">
        <f>IF(L60="",N59,Telai!AD51)</f>
        <v>15.85</v>
      </c>
      <c r="P60" s="3" t="str">
        <f>IF(Telai!AT51="","",ABS(Telai!AT51))</f>
        <v/>
      </c>
      <c r="Q60" s="3">
        <f t="shared" si="3"/>
        <v>28.240500000000001</v>
      </c>
      <c r="R60" s="3">
        <f>IF(P60="",R59,Telai!AQ51)</f>
        <v>15.85</v>
      </c>
      <c r="T60" s="3" t="str">
        <f>IF(Telai!BG51="","",ABS(Telai!BG51))</f>
        <v/>
      </c>
      <c r="U60" s="3">
        <f t="shared" si="4"/>
        <v>27.1615</v>
      </c>
      <c r="V60" s="3">
        <f>IF(T60="",V59,Telai!BD51)</f>
        <v>15.85</v>
      </c>
      <c r="X60" s="3" t="str">
        <f>IF(Telai!BT51="","",ABS(Telai!BT51))</f>
        <v/>
      </c>
      <c r="Y60" s="3">
        <f t="shared" si="5"/>
        <v>27.1615</v>
      </c>
      <c r="Z60" s="3">
        <f>IF(X60="",Z59,Telai!BQ51)</f>
        <v>15.85</v>
      </c>
    </row>
    <row r="61" spans="1:26">
      <c r="A61" s="7" t="s">
        <v>113</v>
      </c>
      <c r="D61" s="3" t="str">
        <f>IF(Telai!G52="","",ABS(Telai!G52))</f>
        <v/>
      </c>
      <c r="E61" s="3">
        <f t="shared" si="0"/>
        <v>30.462499999999999</v>
      </c>
      <c r="F61" s="3">
        <f>IF(D61="",F60,Telai!D52)</f>
        <v>15.85</v>
      </c>
      <c r="H61" s="3" t="str">
        <f>IF(Telai!T52="","",ABS(Telai!T52))</f>
        <v/>
      </c>
      <c r="I61" s="3">
        <f t="shared" si="1"/>
        <v>29.958500000000001</v>
      </c>
      <c r="J61" s="3">
        <f>IF(H61="",J60,Telai!Q52)</f>
        <v>15.85</v>
      </c>
      <c r="L61" s="3" t="str">
        <f>IF(Telai!AG52="","",ABS(Telai!AG52))</f>
        <v/>
      </c>
      <c r="M61" s="3">
        <f t="shared" si="2"/>
        <v>29.213000000000001</v>
      </c>
      <c r="N61" s="3">
        <f>IF(L61="",N60,Telai!AD52)</f>
        <v>15.85</v>
      </c>
      <c r="P61" s="3" t="str">
        <f>IF(Telai!AT52="","",ABS(Telai!AT52))</f>
        <v/>
      </c>
      <c r="Q61" s="3">
        <f t="shared" si="3"/>
        <v>28.240500000000001</v>
      </c>
      <c r="R61" s="3">
        <f>IF(P61="",R60,Telai!AQ52)</f>
        <v>15.85</v>
      </c>
      <c r="T61" s="3" t="str">
        <f>IF(Telai!BG52="","",ABS(Telai!BG52))</f>
        <v/>
      </c>
      <c r="U61" s="3">
        <f t="shared" si="4"/>
        <v>27.1615</v>
      </c>
      <c r="V61" s="3">
        <f>IF(T61="",V60,Telai!BD52)</f>
        <v>15.85</v>
      </c>
      <c r="X61" s="3" t="str">
        <f>IF(Telai!BT52="","",ABS(Telai!BT52))</f>
        <v/>
      </c>
      <c r="Y61" s="3">
        <f t="shared" si="5"/>
        <v>27.1615</v>
      </c>
      <c r="Z61" s="3">
        <f>IF(X61="",Z60,Telai!BQ52)</f>
        <v>15.85</v>
      </c>
    </row>
    <row r="62" spans="1:26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30.462499999999999</v>
      </c>
      <c r="F62" s="3">
        <f>IF(D62="",F61,Telai!D53)</f>
        <v>15.85</v>
      </c>
      <c r="H62" s="3" t="str">
        <f>IF(Telai!T53="","",ABS(Telai!T53))</f>
        <v/>
      </c>
      <c r="I62" s="3">
        <f t="shared" si="1"/>
        <v>29.958500000000001</v>
      </c>
      <c r="J62" s="3">
        <f>IF(H62="",J61,Telai!Q53)</f>
        <v>15.85</v>
      </c>
      <c r="L62" s="3" t="str">
        <f>IF(Telai!AG53="","",ABS(Telai!AG53))</f>
        <v/>
      </c>
      <c r="M62" s="3">
        <f t="shared" si="2"/>
        <v>29.213000000000001</v>
      </c>
      <c r="N62" s="3">
        <f>IF(L62="",N61,Telai!AD53)</f>
        <v>15.85</v>
      </c>
      <c r="P62" s="3" t="str">
        <f>IF(Telai!AT53="","",ABS(Telai!AT53))</f>
        <v/>
      </c>
      <c r="Q62" s="3">
        <f t="shared" si="3"/>
        <v>28.240500000000001</v>
      </c>
      <c r="R62" s="3">
        <f>IF(P62="",R61,Telai!AQ53)</f>
        <v>15.85</v>
      </c>
      <c r="T62" s="3" t="str">
        <f>IF(Telai!BG53="","",ABS(Telai!BG53))</f>
        <v/>
      </c>
      <c r="U62" s="3">
        <f t="shared" si="4"/>
        <v>27.1615</v>
      </c>
      <c r="V62" s="3">
        <f>IF(T62="",V61,Telai!BD53)</f>
        <v>15.85</v>
      </c>
      <c r="X62" s="3" t="str">
        <f>IF(Telai!BT53="","",ABS(Telai!BT53))</f>
        <v/>
      </c>
      <c r="Y62" s="3">
        <f t="shared" si="5"/>
        <v>27.1615</v>
      </c>
      <c r="Z62" s="3">
        <f>IF(X62="",Z61,Telai!BQ53)</f>
        <v>15.85</v>
      </c>
    </row>
    <row r="63" spans="1:26">
      <c r="A63" s="3">
        <f>MIN(E64:E84,I64:I84,M64:M84,Q64:Q84,U64:U84,Y64:Y84)</f>
        <v>0.15</v>
      </c>
      <c r="B63" s="3">
        <f>F64</f>
        <v>23.683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  <c r="P63" s="48" t="s">
        <v>114</v>
      </c>
      <c r="Q63" s="48" t="s">
        <v>7</v>
      </c>
      <c r="R63" s="48" t="s">
        <v>8</v>
      </c>
      <c r="T63" s="48" t="s">
        <v>114</v>
      </c>
      <c r="U63" s="48" t="s">
        <v>7</v>
      </c>
      <c r="V63" s="48" t="s">
        <v>8</v>
      </c>
      <c r="X63" s="48" t="s">
        <v>114</v>
      </c>
      <c r="Y63" s="48" t="s">
        <v>7</v>
      </c>
      <c r="Z63" s="48" t="s">
        <v>8</v>
      </c>
    </row>
    <row r="64" spans="1:26">
      <c r="A64" s="3">
        <f>A63</f>
        <v>0.15</v>
      </c>
      <c r="B64" s="1">
        <f>MAX(Dati!B14:M14)+I1</f>
        <v>19.5</v>
      </c>
      <c r="D64" s="2">
        <f>IF(Telai!G60="","",ABS(Telai!G60))</f>
        <v>8.3659999999999997</v>
      </c>
      <c r="E64" s="3">
        <f>IF(D64="",E63,Telai!D60)</f>
        <v>0.15</v>
      </c>
      <c r="F64" s="3">
        <f t="shared" ref="F64:F84" si="6">IF(D64="",F63,$B$64+D64*$E$1)</f>
        <v>23.683</v>
      </c>
      <c r="H64" s="2">
        <f>IF(Telai!T60="","",ABS(Telai!T60))</f>
        <v>7.4880000000000004</v>
      </c>
      <c r="I64" s="3">
        <f>IF(H64="",I63,Telai!Q60)</f>
        <v>0.15</v>
      </c>
      <c r="J64" s="3">
        <f t="shared" ref="J64:J84" si="7">IF(H64="",J63,$B$64+H64*$E$1)</f>
        <v>23.244</v>
      </c>
      <c r="L64" s="2">
        <f>IF(Telai!AG60="","",ABS(Telai!AG60))</f>
        <v>6.1</v>
      </c>
      <c r="M64" s="3">
        <f>IF(L64="",M63,Telai!AD60)</f>
        <v>0.15</v>
      </c>
      <c r="N64" s="3">
        <f t="shared" ref="N64:N84" si="8">IF(L64="",N63,$B$64+L64*$E$1)</f>
        <v>22.55</v>
      </c>
      <c r="P64" s="2">
        <f>IF(Telai!AT60="","",ABS(Telai!AT60))</f>
        <v>4.2240000000000002</v>
      </c>
      <c r="Q64" s="3">
        <f>IF(P64="",Q63,Telai!AQ60)</f>
        <v>0.15</v>
      </c>
      <c r="R64" s="3">
        <f t="shared" ref="R64:R84" si="9">IF(P64="",R63,$B$64+P64*$E$1)</f>
        <v>21.612000000000002</v>
      </c>
      <c r="T64" s="2">
        <f>IF(Telai!BG60="","",ABS(Telai!BG60))</f>
        <v>2.0350000000000001</v>
      </c>
      <c r="U64" s="3">
        <f>IF(T64="",U63,Telai!BD60)</f>
        <v>0.15</v>
      </c>
      <c r="V64" s="3">
        <f t="shared" ref="V64:V84" si="10">IF(T64="",V63,$B$64+T64*$E$1)</f>
        <v>20.517499999999998</v>
      </c>
      <c r="X64" s="2">
        <f>IF(Telai!BT60="","",ABS(Telai!BT60))</f>
        <v>2.0350000000000001</v>
      </c>
      <c r="Y64" s="3">
        <f>IF(X64="",Y63,Telai!BQ60)</f>
        <v>0.15</v>
      </c>
      <c r="Z64" s="3">
        <f t="shared" ref="Z64:Z84" si="11">IF(X64="",Z63,$B$64+X64*$E$1)</f>
        <v>20.517499999999998</v>
      </c>
    </row>
    <row r="65" spans="1:26">
      <c r="A65" s="3">
        <f>A66</f>
        <v>22.65</v>
      </c>
      <c r="B65" s="1">
        <f>B64</f>
        <v>19.5</v>
      </c>
      <c r="D65" s="2">
        <f>IF(Telai!G61="","",ABS(Telai!G61))</f>
        <v>8.4429999999999996</v>
      </c>
      <c r="E65" s="3">
        <f>IF(D65="",E64,Telai!D61)</f>
        <v>2.5</v>
      </c>
      <c r="F65" s="3">
        <f t="shared" si="6"/>
        <v>23.721499999999999</v>
      </c>
      <c r="H65" s="2">
        <f>IF(Telai!T61="","",ABS(Telai!T61))</f>
        <v>7.5445000000000002</v>
      </c>
      <c r="I65" s="3">
        <f>IF(H65="",I64,Telai!Q61)</f>
        <v>2.5</v>
      </c>
      <c r="J65" s="3">
        <f t="shared" si="7"/>
        <v>23.27225</v>
      </c>
      <c r="L65" s="2">
        <f>IF(Telai!AG61="","",ABS(Telai!AG61))</f>
        <v>6.1334999999999997</v>
      </c>
      <c r="M65" s="3">
        <f>IF(L65="",M64,Telai!AD61)</f>
        <v>2.5</v>
      </c>
      <c r="N65" s="3">
        <f t="shared" si="8"/>
        <v>22.566749999999999</v>
      </c>
      <c r="P65" s="2">
        <f>IF(Telai!AT61="","",ABS(Telai!AT61))</f>
        <v>4.234</v>
      </c>
      <c r="Q65" s="3">
        <f>IF(P65="",Q64,Telai!AQ61)</f>
        <v>2.5</v>
      </c>
      <c r="R65" s="3">
        <f t="shared" si="9"/>
        <v>21.617000000000001</v>
      </c>
      <c r="T65" s="2">
        <f>IF(Telai!BG61="","",ABS(Telai!BG61))</f>
        <v>2.0270000000000001</v>
      </c>
      <c r="U65" s="3">
        <f>IF(T65="",U64,Telai!BD61)</f>
        <v>2.5</v>
      </c>
      <c r="V65" s="3">
        <f t="shared" si="10"/>
        <v>20.513500000000001</v>
      </c>
      <c r="X65" s="2">
        <f>IF(Telai!BT61="","",ABS(Telai!BT61))</f>
        <v>2.0270000000000001</v>
      </c>
      <c r="Y65" s="3">
        <f>IF(X65="",Y64,Telai!BQ61)</f>
        <v>2.5</v>
      </c>
      <c r="Z65" s="3">
        <f t="shared" si="11"/>
        <v>20.513500000000001</v>
      </c>
    </row>
    <row r="66" spans="1:26">
      <c r="A66" s="3">
        <f>MAX(E64:E84,I64:I84,M64:M84,Q64:Q84,U64:U84,Y64:Y84)</f>
        <v>22.65</v>
      </c>
      <c r="B66" s="3">
        <f>F84</f>
        <v>28.849499999999999</v>
      </c>
      <c r="D66" s="2">
        <f>IF(Telai!G62="","",ABS(Telai!G62))</f>
        <v>8.52</v>
      </c>
      <c r="E66" s="3">
        <f>IF(D66="",E65,Telai!D62)</f>
        <v>4.8499999999999996</v>
      </c>
      <c r="F66" s="3">
        <f t="shared" si="6"/>
        <v>23.759999999999998</v>
      </c>
      <c r="H66" s="2">
        <f>IF(Telai!T62="","",ABS(Telai!T62))</f>
        <v>7.601</v>
      </c>
      <c r="I66" s="3">
        <f>IF(H66="",I65,Telai!Q62)</f>
        <v>4.8499999999999996</v>
      </c>
      <c r="J66" s="3">
        <f t="shared" si="7"/>
        <v>23.3005</v>
      </c>
      <c r="L66" s="2">
        <f>IF(Telai!AG62="","",ABS(Telai!AG62))</f>
        <v>6.1669999999999998</v>
      </c>
      <c r="M66" s="3">
        <f>IF(L66="",M65,Telai!AD62)</f>
        <v>4.8499999999999996</v>
      </c>
      <c r="N66" s="3">
        <f t="shared" si="8"/>
        <v>22.583500000000001</v>
      </c>
      <c r="P66" s="2">
        <f>IF(Telai!AT62="","",ABS(Telai!AT62))</f>
        <v>4.2439999999999998</v>
      </c>
      <c r="Q66" s="3">
        <f>IF(P66="",Q65,Telai!AQ62)</f>
        <v>4.8499999999999996</v>
      </c>
      <c r="R66" s="3">
        <f t="shared" si="9"/>
        <v>21.622</v>
      </c>
      <c r="T66" s="2">
        <f>IF(Telai!BG62="","",ABS(Telai!BG62))</f>
        <v>2.0190000000000001</v>
      </c>
      <c r="U66" s="3">
        <f>IF(T66="",U65,Telai!BD62)</f>
        <v>4.8499999999999996</v>
      </c>
      <c r="V66" s="3">
        <f t="shared" si="10"/>
        <v>20.509499999999999</v>
      </c>
      <c r="X66" s="2">
        <f>IF(Telai!BT62="","",ABS(Telai!BT62))</f>
        <v>2.0190000000000001</v>
      </c>
      <c r="Y66" s="3">
        <f>IF(X66="",Y65,Telai!BQ62)</f>
        <v>4.8499999999999996</v>
      </c>
      <c r="Z66" s="3">
        <f t="shared" si="11"/>
        <v>20.509499999999999</v>
      </c>
    </row>
    <row r="67" spans="1:26">
      <c r="D67" s="2">
        <f>IF(Telai!G63="","",ABS(Telai!G63))</f>
        <v>9.1654999999999998</v>
      </c>
      <c r="E67" s="3">
        <f>IF(D67="",E66,Telai!D63)</f>
        <v>6.75</v>
      </c>
      <c r="F67" s="3">
        <f t="shared" si="6"/>
        <v>24.082750000000001</v>
      </c>
      <c r="H67" s="2">
        <f>IF(Telai!T63="","",ABS(Telai!T63))</f>
        <v>8.1564999999999994</v>
      </c>
      <c r="I67" s="3">
        <f>IF(H67="",I66,Telai!Q63)</f>
        <v>6.75</v>
      </c>
      <c r="J67" s="3">
        <f t="shared" si="7"/>
        <v>23.578250000000001</v>
      </c>
      <c r="L67" s="2">
        <f>IF(Telai!AG63="","",ABS(Telai!AG63))</f>
        <v>6.5979999999999999</v>
      </c>
      <c r="M67" s="3">
        <f>IF(L67="",M66,Telai!AD63)</f>
        <v>6.75</v>
      </c>
      <c r="N67" s="3">
        <f t="shared" si="8"/>
        <v>22.798999999999999</v>
      </c>
      <c r="P67" s="2">
        <f>IF(Telai!AT63="","",ABS(Telai!AT63))</f>
        <v>4.5175000000000001</v>
      </c>
      <c r="Q67" s="3">
        <f>IF(P67="",Q66,Telai!AQ63)</f>
        <v>6.75</v>
      </c>
      <c r="R67" s="3">
        <f t="shared" si="9"/>
        <v>21.758749999999999</v>
      </c>
      <c r="T67" s="2">
        <f>IF(Telai!BG63="","",ABS(Telai!BG63))</f>
        <v>2.1265000000000001</v>
      </c>
      <c r="U67" s="3">
        <f>IF(T67="",U66,Telai!BD63)</f>
        <v>6.75</v>
      </c>
      <c r="V67" s="3">
        <f t="shared" si="10"/>
        <v>20.56325</v>
      </c>
      <c r="X67" s="2">
        <f>IF(Telai!BT63="","",ABS(Telai!BT63))</f>
        <v>2.1265000000000001</v>
      </c>
      <c r="Y67" s="3">
        <f>IF(X67="",Y66,Telai!BQ63)</f>
        <v>6.75</v>
      </c>
      <c r="Z67" s="3">
        <f t="shared" si="11"/>
        <v>20.56325</v>
      </c>
    </row>
    <row r="68" spans="1:26">
      <c r="D68" s="2">
        <f>IF(Telai!G64="","",ABS(Telai!G64))</f>
        <v>9.8109999999999999</v>
      </c>
      <c r="E68" s="3">
        <f>IF(D68="",E67,Telai!D64)</f>
        <v>8.65</v>
      </c>
      <c r="F68" s="3">
        <f t="shared" si="6"/>
        <v>24.4055</v>
      </c>
      <c r="H68" s="2">
        <f>IF(Telai!T64="","",ABS(Telai!T64))</f>
        <v>8.7119999999999997</v>
      </c>
      <c r="I68" s="3">
        <f>IF(H68="",I67,Telai!Q64)</f>
        <v>8.65</v>
      </c>
      <c r="J68" s="3">
        <f t="shared" si="7"/>
        <v>23.856000000000002</v>
      </c>
      <c r="L68" s="2">
        <f>IF(Telai!AG64="","",ABS(Telai!AG64))</f>
        <v>7.0289999999999999</v>
      </c>
      <c r="M68" s="3">
        <f>IF(L68="",M67,Telai!AD64)</f>
        <v>8.65</v>
      </c>
      <c r="N68" s="3">
        <f t="shared" si="8"/>
        <v>23.014499999999998</v>
      </c>
      <c r="P68" s="2">
        <f>IF(Telai!AT64="","",ABS(Telai!AT64))</f>
        <v>4.7910000000000004</v>
      </c>
      <c r="Q68" s="3">
        <f>IF(P68="",Q67,Telai!AQ64)</f>
        <v>8.65</v>
      </c>
      <c r="R68" s="3">
        <f t="shared" si="9"/>
        <v>21.895499999999998</v>
      </c>
      <c r="T68" s="2">
        <f>IF(Telai!BG64="","",ABS(Telai!BG64))</f>
        <v>2.234</v>
      </c>
      <c r="U68" s="3">
        <f>IF(T68="",U67,Telai!BD64)</f>
        <v>8.65</v>
      </c>
      <c r="V68" s="3">
        <f t="shared" si="10"/>
        <v>20.617000000000001</v>
      </c>
      <c r="X68" s="2">
        <f>IF(Telai!BT64="","",ABS(Telai!BT64))</f>
        <v>2.234</v>
      </c>
      <c r="Y68" s="3">
        <f>IF(X68="",Y67,Telai!BQ64)</f>
        <v>8.65</v>
      </c>
      <c r="Z68" s="3">
        <f t="shared" si="11"/>
        <v>20.617000000000001</v>
      </c>
    </row>
    <row r="69" spans="1:26">
      <c r="D69" s="2">
        <f>IF(Telai!G65="","",ABS(Telai!G65))</f>
        <v>10.574</v>
      </c>
      <c r="E69" s="3">
        <f>IF(D69="",E68,Telai!D65)</f>
        <v>10.15</v>
      </c>
      <c r="F69" s="3">
        <f t="shared" si="6"/>
        <v>24.786999999999999</v>
      </c>
      <c r="H69" s="2">
        <f>IF(Telai!T65="","",ABS(Telai!T65))</f>
        <v>9.3765000000000001</v>
      </c>
      <c r="I69" s="3">
        <f>IF(H69="",I68,Telai!Q65)</f>
        <v>10.15</v>
      </c>
      <c r="J69" s="3">
        <f t="shared" si="7"/>
        <v>24.18825</v>
      </c>
      <c r="L69" s="2">
        <f>IF(Telai!AG65="","",ABS(Telai!AG65))</f>
        <v>7.5504999999999995</v>
      </c>
      <c r="M69" s="3">
        <f>IF(L69="",M68,Telai!AD65)</f>
        <v>10.15</v>
      </c>
      <c r="N69" s="3">
        <f t="shared" si="8"/>
        <v>23.27525</v>
      </c>
      <c r="P69" s="2">
        <f>IF(Telai!AT65="","",ABS(Telai!AT65))</f>
        <v>5.1285000000000007</v>
      </c>
      <c r="Q69" s="3">
        <f>IF(P69="",Q68,Telai!AQ65)</f>
        <v>10.15</v>
      </c>
      <c r="R69" s="3">
        <f t="shared" si="9"/>
        <v>22.064250000000001</v>
      </c>
      <c r="T69" s="2">
        <f>IF(Telai!BG65="","",ABS(Telai!BG65))</f>
        <v>2.3734999999999999</v>
      </c>
      <c r="U69" s="3">
        <f>IF(T69="",U68,Telai!BD65)</f>
        <v>10.15</v>
      </c>
      <c r="V69" s="3">
        <f t="shared" si="10"/>
        <v>20.68675</v>
      </c>
      <c r="X69" s="2">
        <f>IF(Telai!BT65="","",ABS(Telai!BT65))</f>
        <v>2.3734999999999999</v>
      </c>
      <c r="Y69" s="3">
        <f>IF(X69="",Y68,Telai!BQ65)</f>
        <v>10.15</v>
      </c>
      <c r="Z69" s="3">
        <f t="shared" si="11"/>
        <v>20.68675</v>
      </c>
    </row>
    <row r="70" spans="1:26">
      <c r="D70" s="2">
        <f>IF(Telai!G66="","",ABS(Telai!G66))</f>
        <v>11.337</v>
      </c>
      <c r="E70" s="3">
        <f>IF(D70="",E69,Telai!D66)</f>
        <v>11.65</v>
      </c>
      <c r="F70" s="3">
        <f t="shared" si="6"/>
        <v>25.168500000000002</v>
      </c>
      <c r="H70" s="2">
        <f>IF(Telai!T66="","",ABS(Telai!T66))</f>
        <v>10.041</v>
      </c>
      <c r="I70" s="3">
        <f>IF(H70="",I69,Telai!Q66)</f>
        <v>11.65</v>
      </c>
      <c r="J70" s="3">
        <f t="shared" si="7"/>
        <v>24.520499999999998</v>
      </c>
      <c r="L70" s="2">
        <f>IF(Telai!AG66="","",ABS(Telai!AG66))</f>
        <v>8.0719999999999992</v>
      </c>
      <c r="M70" s="3">
        <f>IF(L70="",M69,Telai!AD66)</f>
        <v>11.65</v>
      </c>
      <c r="N70" s="3">
        <f t="shared" si="8"/>
        <v>23.536000000000001</v>
      </c>
      <c r="P70" s="2">
        <f>IF(Telai!AT66="","",ABS(Telai!AT66))</f>
        <v>5.4660000000000002</v>
      </c>
      <c r="Q70" s="3">
        <f>IF(P70="",Q69,Telai!AQ66)</f>
        <v>11.65</v>
      </c>
      <c r="R70" s="3">
        <f t="shared" si="9"/>
        <v>22.233000000000001</v>
      </c>
      <c r="T70" s="2">
        <f>IF(Telai!BG66="","",ABS(Telai!BG66))</f>
        <v>2.5129999999999999</v>
      </c>
      <c r="U70" s="3">
        <f>IF(T70="",U69,Telai!BD66)</f>
        <v>11.65</v>
      </c>
      <c r="V70" s="3">
        <f t="shared" si="10"/>
        <v>20.756499999999999</v>
      </c>
      <c r="X70" s="2">
        <f>IF(Telai!BT66="","",ABS(Telai!BT66))</f>
        <v>2.5129999999999999</v>
      </c>
      <c r="Y70" s="3">
        <f>IF(X70="",Y69,Telai!BQ66)</f>
        <v>11.65</v>
      </c>
      <c r="Z70" s="3">
        <f t="shared" si="11"/>
        <v>20.756499999999999</v>
      </c>
    </row>
    <row r="71" spans="1:26">
      <c r="D71" s="2">
        <f>IF(Telai!G67="","",ABS(Telai!G67))</f>
        <v>12.305499999999999</v>
      </c>
      <c r="E71" s="3">
        <f>IF(D71="",E70,Telai!D67)</f>
        <v>13.25</v>
      </c>
      <c r="F71" s="3">
        <f t="shared" si="6"/>
        <v>25.652749999999997</v>
      </c>
      <c r="H71" s="2">
        <f>IF(Telai!T67="","",ABS(Telai!T67))</f>
        <v>10.887499999999999</v>
      </c>
      <c r="I71" s="3">
        <f>IF(H71="",I70,Telai!Q67)</f>
        <v>13.25</v>
      </c>
      <c r="J71" s="3">
        <f t="shared" si="7"/>
        <v>24.943750000000001</v>
      </c>
      <c r="L71" s="2">
        <f>IF(Telai!AG67="","",ABS(Telai!AG67))</f>
        <v>8.7405000000000008</v>
      </c>
      <c r="M71" s="3">
        <f>IF(L71="",M70,Telai!AD67)</f>
        <v>13.25</v>
      </c>
      <c r="N71" s="3">
        <f t="shared" si="8"/>
        <v>23.870249999999999</v>
      </c>
      <c r="P71" s="2">
        <f>IF(Telai!AT67="","",ABS(Telai!AT67))</f>
        <v>5.9039999999999999</v>
      </c>
      <c r="Q71" s="3">
        <f>IF(P71="",Q70,Telai!AQ67)</f>
        <v>13.25</v>
      </c>
      <c r="R71" s="3">
        <f t="shared" si="9"/>
        <v>22.451999999999998</v>
      </c>
      <c r="T71" s="2">
        <f>IF(Telai!BG67="","",ABS(Telai!BG67))</f>
        <v>2.6985000000000001</v>
      </c>
      <c r="U71" s="3">
        <f>IF(T71="",U70,Telai!BD67)</f>
        <v>13.25</v>
      </c>
      <c r="V71" s="3">
        <f t="shared" si="10"/>
        <v>20.849250000000001</v>
      </c>
      <c r="X71" s="2">
        <f>IF(Telai!BT67="","",ABS(Telai!BT67))</f>
        <v>2.6985000000000001</v>
      </c>
      <c r="Y71" s="3">
        <f>IF(X71="",Y70,Telai!BQ67)</f>
        <v>13.25</v>
      </c>
      <c r="Z71" s="3">
        <f t="shared" si="11"/>
        <v>20.849250000000001</v>
      </c>
    </row>
    <row r="72" spans="1:26">
      <c r="D72" s="2">
        <f>IF(Telai!G68="","",ABS(Telai!G68))</f>
        <v>13.273999999999999</v>
      </c>
      <c r="E72" s="3">
        <f>IF(D72="",E71,Telai!D68)</f>
        <v>14.85</v>
      </c>
      <c r="F72" s="3">
        <f t="shared" si="6"/>
        <v>26.137</v>
      </c>
      <c r="H72" s="2">
        <f>IF(Telai!T68="","",ABS(Telai!T68))</f>
        <v>11.734</v>
      </c>
      <c r="I72" s="3">
        <f>IF(H72="",I71,Telai!Q68)</f>
        <v>14.85</v>
      </c>
      <c r="J72" s="3">
        <f t="shared" si="7"/>
        <v>25.367000000000001</v>
      </c>
      <c r="L72" s="2">
        <f>IF(Telai!AG68="","",ABS(Telai!AG68))</f>
        <v>9.4090000000000007</v>
      </c>
      <c r="M72" s="3">
        <f>IF(L72="",M71,Telai!AD68)</f>
        <v>14.85</v>
      </c>
      <c r="N72" s="3">
        <f t="shared" si="8"/>
        <v>24.204499999999999</v>
      </c>
      <c r="P72" s="2">
        <f>IF(Telai!AT68="","",ABS(Telai!AT68))</f>
        <v>6.3419999999999996</v>
      </c>
      <c r="Q72" s="3">
        <f>IF(P72="",Q71,Telai!AQ68)</f>
        <v>14.85</v>
      </c>
      <c r="R72" s="3">
        <f t="shared" si="9"/>
        <v>22.670999999999999</v>
      </c>
      <c r="T72" s="2">
        <f>IF(Telai!BG68="","",ABS(Telai!BG68))</f>
        <v>2.8839999999999999</v>
      </c>
      <c r="U72" s="3">
        <f>IF(T72="",U71,Telai!BD68)</f>
        <v>14.85</v>
      </c>
      <c r="V72" s="3">
        <f t="shared" si="10"/>
        <v>20.942</v>
      </c>
      <c r="X72" s="2">
        <f>IF(Telai!BT68="","",ABS(Telai!BT68))</f>
        <v>2.8839999999999999</v>
      </c>
      <c r="Y72" s="3">
        <f>IF(X72="",Y71,Telai!BQ68)</f>
        <v>14.85</v>
      </c>
      <c r="Z72" s="3">
        <f t="shared" si="11"/>
        <v>20.942</v>
      </c>
    </row>
    <row r="73" spans="1:26">
      <c r="D73" s="2">
        <f>IF(Telai!G69="","",ABS(Telai!G69))</f>
        <v>14.6915</v>
      </c>
      <c r="E73" s="3">
        <f>IF(D73="",E72,Telai!D69)</f>
        <v>16.95</v>
      </c>
      <c r="F73" s="3">
        <f t="shared" si="6"/>
        <v>26.845749999999999</v>
      </c>
      <c r="H73" s="2">
        <f>IF(Telai!T69="","",ABS(Telai!T69))</f>
        <v>12.977</v>
      </c>
      <c r="I73" s="3">
        <f>IF(H73="",I72,Telai!Q69)</f>
        <v>16.95</v>
      </c>
      <c r="J73" s="3">
        <f t="shared" si="7"/>
        <v>25.988500000000002</v>
      </c>
      <c r="L73" s="2">
        <f>IF(Telai!AG69="","",ABS(Telai!AG69))</f>
        <v>10.395</v>
      </c>
      <c r="M73" s="3">
        <f>IF(L73="",M72,Telai!AD69)</f>
        <v>16.95</v>
      </c>
      <c r="N73" s="3">
        <f t="shared" si="8"/>
        <v>24.697499999999998</v>
      </c>
      <c r="P73" s="2">
        <f>IF(Telai!AT69="","",ABS(Telai!AT69))</f>
        <v>6.9924999999999997</v>
      </c>
      <c r="Q73" s="3">
        <f>IF(P73="",Q72,Telai!AQ69)</f>
        <v>16.95</v>
      </c>
      <c r="R73" s="3">
        <f t="shared" si="9"/>
        <v>22.99625</v>
      </c>
      <c r="T73" s="2">
        <f>IF(Telai!BG69="","",ABS(Telai!BG69))</f>
        <v>3.165</v>
      </c>
      <c r="U73" s="3">
        <f>IF(T73="",U72,Telai!BD69)</f>
        <v>16.95</v>
      </c>
      <c r="V73" s="3">
        <f t="shared" si="10"/>
        <v>21.0825</v>
      </c>
      <c r="X73" s="2">
        <f>IF(Telai!BT69="","",ABS(Telai!BT69))</f>
        <v>3.165</v>
      </c>
      <c r="Y73" s="3">
        <f>IF(X73="",Y72,Telai!BQ69)</f>
        <v>16.95</v>
      </c>
      <c r="Z73" s="3">
        <f t="shared" si="11"/>
        <v>21.0825</v>
      </c>
    </row>
    <row r="74" spans="1:26">
      <c r="D74" s="2">
        <f>IF(Telai!G70="","",ABS(Telai!G70))</f>
        <v>16.109000000000002</v>
      </c>
      <c r="E74" s="3">
        <f>IF(D74="",E73,Telai!D70)</f>
        <v>19.05</v>
      </c>
      <c r="F74" s="3">
        <f t="shared" si="6"/>
        <v>27.554500000000001</v>
      </c>
      <c r="H74" s="2">
        <f>IF(Telai!T70="","",ABS(Telai!T70))</f>
        <v>14.22</v>
      </c>
      <c r="I74" s="3">
        <f>IF(H74="",I73,Telai!Q70)</f>
        <v>19.05</v>
      </c>
      <c r="J74" s="3">
        <f t="shared" si="7"/>
        <v>26.61</v>
      </c>
      <c r="L74" s="2">
        <f>IF(Telai!AG70="","",ABS(Telai!AG70))</f>
        <v>11.381</v>
      </c>
      <c r="M74" s="3">
        <f>IF(L74="",M73,Telai!AD70)</f>
        <v>19.05</v>
      </c>
      <c r="N74" s="3">
        <f t="shared" si="8"/>
        <v>25.1905</v>
      </c>
      <c r="P74" s="2">
        <f>IF(Telai!AT70="","",ABS(Telai!AT70))</f>
        <v>7.6429999999999998</v>
      </c>
      <c r="Q74" s="3">
        <f>IF(P74="",Q73,Telai!AQ70)</f>
        <v>19.05</v>
      </c>
      <c r="R74" s="3">
        <f t="shared" si="9"/>
        <v>23.3215</v>
      </c>
      <c r="T74" s="2">
        <f>IF(Telai!BG70="","",ABS(Telai!BG70))</f>
        <v>3.4460000000000002</v>
      </c>
      <c r="U74" s="3">
        <f>IF(T74="",U73,Telai!BD70)</f>
        <v>19.05</v>
      </c>
      <c r="V74" s="3">
        <f t="shared" si="10"/>
        <v>21.222999999999999</v>
      </c>
      <c r="X74" s="2">
        <f>IF(Telai!BT70="","",ABS(Telai!BT70))</f>
        <v>3.4460000000000002</v>
      </c>
      <c r="Y74" s="3">
        <f>IF(X74="",Y73,Telai!BQ70)</f>
        <v>19.05</v>
      </c>
      <c r="Z74" s="3">
        <f t="shared" si="11"/>
        <v>21.222999999999999</v>
      </c>
    </row>
    <row r="75" spans="1:26">
      <c r="D75" s="2">
        <f>IF(Telai!G71="","",ABS(Telai!G71))</f>
        <v>17.404000000000003</v>
      </c>
      <c r="E75" s="3">
        <f>IF(D75="",E74,Telai!D71)</f>
        <v>20.85</v>
      </c>
      <c r="F75" s="3">
        <f t="shared" si="6"/>
        <v>28.202000000000002</v>
      </c>
      <c r="H75" s="2">
        <f>IF(Telai!T71="","",ABS(Telai!T71))</f>
        <v>15.357500000000002</v>
      </c>
      <c r="I75" s="3">
        <f>IF(H75="",I74,Telai!Q71)</f>
        <v>20.85</v>
      </c>
      <c r="J75" s="3">
        <f t="shared" si="7"/>
        <v>27.178750000000001</v>
      </c>
      <c r="L75" s="2">
        <f>IF(Telai!AG71="","",ABS(Telai!AG71))</f>
        <v>12.285500000000001</v>
      </c>
      <c r="M75" s="3">
        <f>IF(L75="",M74,Telai!AD71)</f>
        <v>20.85</v>
      </c>
      <c r="N75" s="3">
        <f t="shared" si="8"/>
        <v>25.642749999999999</v>
      </c>
      <c r="P75" s="2">
        <f>IF(Telai!AT71="","",ABS(Telai!AT71))</f>
        <v>8.2430000000000003</v>
      </c>
      <c r="Q75" s="3">
        <f>IF(P75="",Q74,Telai!AQ71)</f>
        <v>20.85</v>
      </c>
      <c r="R75" s="3">
        <f t="shared" si="9"/>
        <v>23.621500000000001</v>
      </c>
      <c r="T75" s="2">
        <f>IF(Telai!BG71="","",ABS(Telai!BG71))</f>
        <v>3.7080000000000002</v>
      </c>
      <c r="U75" s="3">
        <f>IF(T75="",U74,Telai!BD71)</f>
        <v>20.85</v>
      </c>
      <c r="V75" s="3">
        <f t="shared" si="10"/>
        <v>21.353999999999999</v>
      </c>
      <c r="X75" s="2">
        <f>IF(Telai!BT71="","",ABS(Telai!BT71))</f>
        <v>3.7080000000000002</v>
      </c>
      <c r="Y75" s="3">
        <f>IF(X75="",Y74,Telai!BQ71)</f>
        <v>20.85</v>
      </c>
      <c r="Z75" s="3">
        <f t="shared" si="11"/>
        <v>21.353999999999999</v>
      </c>
    </row>
    <row r="76" spans="1:26">
      <c r="D76" s="2">
        <f>IF(Telai!G72="","",ABS(Telai!G72))</f>
        <v>18.699000000000002</v>
      </c>
      <c r="E76" s="3">
        <f>IF(D76="",E75,Telai!D72)</f>
        <v>22.65</v>
      </c>
      <c r="F76" s="3">
        <f t="shared" si="6"/>
        <v>28.849499999999999</v>
      </c>
      <c r="H76" s="2">
        <f>IF(Telai!T72="","",ABS(Telai!T72))</f>
        <v>16.495000000000001</v>
      </c>
      <c r="I76" s="3">
        <f>IF(H76="",I75,Telai!Q72)</f>
        <v>22.65</v>
      </c>
      <c r="J76" s="3">
        <f t="shared" si="7"/>
        <v>27.747500000000002</v>
      </c>
      <c r="L76" s="2">
        <f>IF(Telai!AG72="","",ABS(Telai!AG72))</f>
        <v>13.19</v>
      </c>
      <c r="M76" s="3">
        <f>IF(L76="",M75,Telai!AD72)</f>
        <v>22.65</v>
      </c>
      <c r="N76" s="3">
        <f t="shared" si="8"/>
        <v>26.094999999999999</v>
      </c>
      <c r="P76" s="2">
        <f>IF(Telai!AT72="","",ABS(Telai!AT72))</f>
        <v>8.843</v>
      </c>
      <c r="Q76" s="3">
        <f>IF(P76="",Q75,Telai!AQ72)</f>
        <v>22.65</v>
      </c>
      <c r="R76" s="3">
        <f t="shared" si="9"/>
        <v>23.921500000000002</v>
      </c>
      <c r="T76" s="2">
        <f>IF(Telai!BG72="","",ABS(Telai!BG72))</f>
        <v>3.97</v>
      </c>
      <c r="U76" s="3">
        <f>IF(T76="",U75,Telai!BD72)</f>
        <v>22.65</v>
      </c>
      <c r="V76" s="3">
        <f t="shared" si="10"/>
        <v>21.484999999999999</v>
      </c>
      <c r="X76" s="2">
        <f>IF(Telai!BT72="","",ABS(Telai!BT72))</f>
        <v>3.97</v>
      </c>
      <c r="Y76" s="3">
        <f>IF(X76="",Y75,Telai!BQ72)</f>
        <v>22.65</v>
      </c>
      <c r="Z76" s="3">
        <f t="shared" si="11"/>
        <v>21.484999999999999</v>
      </c>
    </row>
    <row r="77" spans="1:26">
      <c r="D77" s="2" t="str">
        <f>IF(Telai!G73="","",ABS(Telai!G73))</f>
        <v/>
      </c>
      <c r="E77" s="3">
        <f>IF(D77="",E76,Telai!D73)</f>
        <v>22.65</v>
      </c>
      <c r="F77" s="3">
        <f t="shared" si="6"/>
        <v>28.849499999999999</v>
      </c>
      <c r="H77" s="2" t="str">
        <f>IF(Telai!T73="","",ABS(Telai!T73))</f>
        <v/>
      </c>
      <c r="I77" s="3">
        <f>IF(H77="",I76,Telai!Q73)</f>
        <v>22.65</v>
      </c>
      <c r="J77" s="3">
        <f t="shared" si="7"/>
        <v>27.747500000000002</v>
      </c>
      <c r="L77" s="2" t="str">
        <f>IF(Telai!AG73="","",ABS(Telai!AG73))</f>
        <v/>
      </c>
      <c r="M77" s="3">
        <f>IF(L77="",M76,Telai!AD73)</f>
        <v>22.65</v>
      </c>
      <c r="N77" s="3">
        <f t="shared" si="8"/>
        <v>26.094999999999999</v>
      </c>
      <c r="P77" s="2" t="str">
        <f>IF(Telai!AT73="","",ABS(Telai!AT73))</f>
        <v/>
      </c>
      <c r="Q77" s="3">
        <f>IF(P77="",Q76,Telai!AQ73)</f>
        <v>22.65</v>
      </c>
      <c r="R77" s="3">
        <f t="shared" si="9"/>
        <v>23.921500000000002</v>
      </c>
      <c r="T77" s="2" t="str">
        <f>IF(Telai!BG73="","",ABS(Telai!BG73))</f>
        <v/>
      </c>
      <c r="U77" s="3">
        <f>IF(T77="",U76,Telai!BD73)</f>
        <v>22.65</v>
      </c>
      <c r="V77" s="3">
        <f t="shared" si="10"/>
        <v>21.484999999999999</v>
      </c>
      <c r="X77" s="2" t="str">
        <f>IF(Telai!BT73="","",ABS(Telai!BT73))</f>
        <v/>
      </c>
      <c r="Y77" s="3">
        <f>IF(X77="",Y76,Telai!BQ73)</f>
        <v>22.65</v>
      </c>
      <c r="Z77" s="3">
        <f t="shared" si="11"/>
        <v>21.484999999999999</v>
      </c>
    </row>
    <row r="78" spans="1:26">
      <c r="D78" s="2" t="str">
        <f>IF(Telai!G74="","",ABS(Telai!G74))</f>
        <v/>
      </c>
      <c r="E78" s="3">
        <f>IF(D78="",E77,Telai!D74)</f>
        <v>22.65</v>
      </c>
      <c r="F78" s="3">
        <f t="shared" si="6"/>
        <v>28.849499999999999</v>
      </c>
      <c r="H78" s="2" t="str">
        <f>IF(Telai!T74="","",ABS(Telai!T74))</f>
        <v/>
      </c>
      <c r="I78" s="3">
        <f>IF(H78="",I77,Telai!Q74)</f>
        <v>22.65</v>
      </c>
      <c r="J78" s="3">
        <f t="shared" si="7"/>
        <v>27.747500000000002</v>
      </c>
      <c r="L78" s="2" t="str">
        <f>IF(Telai!AG74="","",ABS(Telai!AG74))</f>
        <v/>
      </c>
      <c r="M78" s="3">
        <f>IF(L78="",M77,Telai!AD74)</f>
        <v>22.65</v>
      </c>
      <c r="N78" s="3">
        <f t="shared" si="8"/>
        <v>26.094999999999999</v>
      </c>
      <c r="P78" s="2" t="str">
        <f>IF(Telai!AT74="","",ABS(Telai!AT74))</f>
        <v/>
      </c>
      <c r="Q78" s="3">
        <f>IF(P78="",Q77,Telai!AQ74)</f>
        <v>22.65</v>
      </c>
      <c r="R78" s="3">
        <f t="shared" si="9"/>
        <v>23.921500000000002</v>
      </c>
      <c r="T78" s="2" t="str">
        <f>IF(Telai!BG74="","",ABS(Telai!BG74))</f>
        <v/>
      </c>
      <c r="U78" s="3">
        <f>IF(T78="",U77,Telai!BD74)</f>
        <v>22.65</v>
      </c>
      <c r="V78" s="3">
        <f t="shared" si="10"/>
        <v>21.484999999999999</v>
      </c>
      <c r="X78" s="2" t="str">
        <f>IF(Telai!BT74="","",ABS(Telai!BT74))</f>
        <v/>
      </c>
      <c r="Y78" s="3">
        <f>IF(X78="",Y77,Telai!BQ74)</f>
        <v>22.65</v>
      </c>
      <c r="Z78" s="3">
        <f t="shared" si="11"/>
        <v>21.484999999999999</v>
      </c>
    </row>
    <row r="79" spans="1:26">
      <c r="D79" s="2" t="str">
        <f>IF(Telai!G75="","",ABS(Telai!G75))</f>
        <v/>
      </c>
      <c r="E79" s="3">
        <f>IF(D79="",E78,Telai!D75)</f>
        <v>22.65</v>
      </c>
      <c r="F79" s="3">
        <f t="shared" si="6"/>
        <v>28.849499999999999</v>
      </c>
      <c r="H79" s="2" t="str">
        <f>IF(Telai!T75="","",ABS(Telai!T75))</f>
        <v/>
      </c>
      <c r="I79" s="3">
        <f>IF(H79="",I78,Telai!Q75)</f>
        <v>22.65</v>
      </c>
      <c r="J79" s="3">
        <f t="shared" si="7"/>
        <v>27.747500000000002</v>
      </c>
      <c r="L79" s="2" t="str">
        <f>IF(Telai!AG75="","",ABS(Telai!AG75))</f>
        <v/>
      </c>
      <c r="M79" s="3">
        <f>IF(L79="",M78,Telai!AD75)</f>
        <v>22.65</v>
      </c>
      <c r="N79" s="3">
        <f t="shared" si="8"/>
        <v>26.094999999999999</v>
      </c>
      <c r="P79" s="2" t="str">
        <f>IF(Telai!AT75="","",ABS(Telai!AT75))</f>
        <v/>
      </c>
      <c r="Q79" s="3">
        <f>IF(P79="",Q78,Telai!AQ75)</f>
        <v>22.65</v>
      </c>
      <c r="R79" s="3">
        <f t="shared" si="9"/>
        <v>23.921500000000002</v>
      </c>
      <c r="T79" s="2" t="str">
        <f>IF(Telai!BG75="","",ABS(Telai!BG75))</f>
        <v/>
      </c>
      <c r="U79" s="3">
        <f>IF(T79="",U78,Telai!BD75)</f>
        <v>22.65</v>
      </c>
      <c r="V79" s="3">
        <f t="shared" si="10"/>
        <v>21.484999999999999</v>
      </c>
      <c r="X79" s="2" t="str">
        <f>IF(Telai!BT75="","",ABS(Telai!BT75))</f>
        <v/>
      </c>
      <c r="Y79" s="3">
        <f>IF(X79="",Y78,Telai!BQ75)</f>
        <v>22.65</v>
      </c>
      <c r="Z79" s="3">
        <f t="shared" si="11"/>
        <v>21.484999999999999</v>
      </c>
    </row>
    <row r="80" spans="1:26">
      <c r="D80" s="2" t="str">
        <f>IF(Telai!G76="","",ABS(Telai!G76))</f>
        <v/>
      </c>
      <c r="E80" s="3">
        <f>IF(D80="",E79,Telai!D76)</f>
        <v>22.65</v>
      </c>
      <c r="F80" s="3">
        <f t="shared" si="6"/>
        <v>28.849499999999999</v>
      </c>
      <c r="H80" s="2" t="str">
        <f>IF(Telai!T76="","",ABS(Telai!T76))</f>
        <v/>
      </c>
      <c r="I80" s="3">
        <f>IF(H80="",I79,Telai!Q76)</f>
        <v>22.65</v>
      </c>
      <c r="J80" s="3">
        <f t="shared" si="7"/>
        <v>27.747500000000002</v>
      </c>
      <c r="L80" s="2" t="str">
        <f>IF(Telai!AG76="","",ABS(Telai!AG76))</f>
        <v/>
      </c>
      <c r="M80" s="3">
        <f>IF(L80="",M79,Telai!AD76)</f>
        <v>22.65</v>
      </c>
      <c r="N80" s="3">
        <f t="shared" si="8"/>
        <v>26.094999999999999</v>
      </c>
      <c r="P80" s="2" t="str">
        <f>IF(Telai!AT76="","",ABS(Telai!AT76))</f>
        <v/>
      </c>
      <c r="Q80" s="3">
        <f>IF(P80="",Q79,Telai!AQ76)</f>
        <v>22.65</v>
      </c>
      <c r="R80" s="3">
        <f t="shared" si="9"/>
        <v>23.921500000000002</v>
      </c>
      <c r="T80" s="2" t="str">
        <f>IF(Telai!BG76="","",ABS(Telai!BG76))</f>
        <v/>
      </c>
      <c r="U80" s="3">
        <f>IF(T80="",U79,Telai!BD76)</f>
        <v>22.65</v>
      </c>
      <c r="V80" s="3">
        <f t="shared" si="10"/>
        <v>21.484999999999999</v>
      </c>
      <c r="X80" s="2" t="str">
        <f>IF(Telai!BT76="","",ABS(Telai!BT76))</f>
        <v/>
      </c>
      <c r="Y80" s="3">
        <f>IF(X80="",Y79,Telai!BQ76)</f>
        <v>22.65</v>
      </c>
      <c r="Z80" s="3">
        <f t="shared" si="11"/>
        <v>21.484999999999999</v>
      </c>
    </row>
    <row r="81" spans="4:26">
      <c r="D81" s="2" t="str">
        <f>IF(Telai!G77="","",ABS(Telai!G77))</f>
        <v/>
      </c>
      <c r="E81" s="3">
        <f>IF(D81="",E80,Telai!D77)</f>
        <v>22.65</v>
      </c>
      <c r="F81" s="3">
        <f t="shared" si="6"/>
        <v>28.849499999999999</v>
      </c>
      <c r="H81" s="2" t="str">
        <f>IF(Telai!T77="","",ABS(Telai!T77))</f>
        <v/>
      </c>
      <c r="I81" s="3">
        <f>IF(H81="",I80,Telai!Q77)</f>
        <v>22.65</v>
      </c>
      <c r="J81" s="3">
        <f t="shared" si="7"/>
        <v>27.747500000000002</v>
      </c>
      <c r="L81" s="2" t="str">
        <f>IF(Telai!AG77="","",ABS(Telai!AG77))</f>
        <v/>
      </c>
      <c r="M81" s="3">
        <f>IF(L81="",M80,Telai!AD77)</f>
        <v>22.65</v>
      </c>
      <c r="N81" s="3">
        <f t="shared" si="8"/>
        <v>26.094999999999999</v>
      </c>
      <c r="P81" s="2" t="str">
        <f>IF(Telai!AT77="","",ABS(Telai!AT77))</f>
        <v/>
      </c>
      <c r="Q81" s="3">
        <f>IF(P81="",Q80,Telai!AQ77)</f>
        <v>22.65</v>
      </c>
      <c r="R81" s="3">
        <f t="shared" si="9"/>
        <v>23.921500000000002</v>
      </c>
      <c r="T81" s="2" t="str">
        <f>IF(Telai!BG77="","",ABS(Telai!BG77))</f>
        <v/>
      </c>
      <c r="U81" s="3">
        <f>IF(T81="",U80,Telai!BD77)</f>
        <v>22.65</v>
      </c>
      <c r="V81" s="3">
        <f t="shared" si="10"/>
        <v>21.484999999999999</v>
      </c>
      <c r="X81" s="2" t="str">
        <f>IF(Telai!BT77="","",ABS(Telai!BT77))</f>
        <v/>
      </c>
      <c r="Y81" s="3">
        <f>IF(X81="",Y80,Telai!BQ77)</f>
        <v>22.65</v>
      </c>
      <c r="Z81" s="3">
        <f t="shared" si="11"/>
        <v>21.484999999999999</v>
      </c>
    </row>
    <row r="82" spans="4:26">
      <c r="D82" s="2" t="str">
        <f>IF(Telai!G78="","",ABS(Telai!G78))</f>
        <v/>
      </c>
      <c r="E82" s="3">
        <f>IF(D82="",E81,Telai!D78)</f>
        <v>22.65</v>
      </c>
      <c r="F82" s="3">
        <f t="shared" si="6"/>
        <v>28.849499999999999</v>
      </c>
      <c r="H82" s="2" t="str">
        <f>IF(Telai!T78="","",ABS(Telai!T78))</f>
        <v/>
      </c>
      <c r="I82" s="3">
        <f>IF(H82="",I81,Telai!Q78)</f>
        <v>22.65</v>
      </c>
      <c r="J82" s="3">
        <f t="shared" si="7"/>
        <v>27.747500000000002</v>
      </c>
      <c r="L82" s="2" t="str">
        <f>IF(Telai!AG78="","",ABS(Telai!AG78))</f>
        <v/>
      </c>
      <c r="M82" s="3">
        <f>IF(L82="",M81,Telai!AD78)</f>
        <v>22.65</v>
      </c>
      <c r="N82" s="3">
        <f t="shared" si="8"/>
        <v>26.094999999999999</v>
      </c>
      <c r="P82" s="2" t="str">
        <f>IF(Telai!AT78="","",ABS(Telai!AT78))</f>
        <v/>
      </c>
      <c r="Q82" s="3">
        <f>IF(P82="",Q81,Telai!AQ78)</f>
        <v>22.65</v>
      </c>
      <c r="R82" s="3">
        <f t="shared" si="9"/>
        <v>23.921500000000002</v>
      </c>
      <c r="T82" s="2" t="str">
        <f>IF(Telai!BG78="","",ABS(Telai!BG78))</f>
        <v/>
      </c>
      <c r="U82" s="3">
        <f>IF(T82="",U81,Telai!BD78)</f>
        <v>22.65</v>
      </c>
      <c r="V82" s="3">
        <f t="shared" si="10"/>
        <v>21.484999999999999</v>
      </c>
      <c r="X82" s="2" t="str">
        <f>IF(Telai!BT78="","",ABS(Telai!BT78))</f>
        <v/>
      </c>
      <c r="Y82" s="3">
        <f>IF(X82="",Y81,Telai!BQ78)</f>
        <v>22.65</v>
      </c>
      <c r="Z82" s="3">
        <f t="shared" si="11"/>
        <v>21.484999999999999</v>
      </c>
    </row>
    <row r="83" spans="4:26">
      <c r="D83" s="2" t="str">
        <f>IF(Telai!G79="","",ABS(Telai!G79))</f>
        <v/>
      </c>
      <c r="E83" s="3">
        <f>IF(D83="",E82,Telai!D79)</f>
        <v>22.65</v>
      </c>
      <c r="F83" s="3">
        <f t="shared" si="6"/>
        <v>28.849499999999999</v>
      </c>
      <c r="H83" s="2" t="str">
        <f>IF(Telai!T79="","",ABS(Telai!T79))</f>
        <v/>
      </c>
      <c r="I83" s="3">
        <f>IF(H83="",I82,Telai!Q79)</f>
        <v>22.65</v>
      </c>
      <c r="J83" s="3">
        <f t="shared" si="7"/>
        <v>27.747500000000002</v>
      </c>
      <c r="L83" s="2" t="str">
        <f>IF(Telai!AG79="","",ABS(Telai!AG79))</f>
        <v/>
      </c>
      <c r="M83" s="3">
        <f>IF(L83="",M82,Telai!AD79)</f>
        <v>22.65</v>
      </c>
      <c r="N83" s="3">
        <f t="shared" si="8"/>
        <v>26.094999999999999</v>
      </c>
      <c r="P83" s="2" t="str">
        <f>IF(Telai!AT79="","",ABS(Telai!AT79))</f>
        <v/>
      </c>
      <c r="Q83" s="3">
        <f>IF(P83="",Q82,Telai!AQ79)</f>
        <v>22.65</v>
      </c>
      <c r="R83" s="3">
        <f t="shared" si="9"/>
        <v>23.921500000000002</v>
      </c>
      <c r="T83" s="2" t="str">
        <f>IF(Telai!BG79="","",ABS(Telai!BG79))</f>
        <v/>
      </c>
      <c r="U83" s="3">
        <f>IF(T83="",U82,Telai!BD79)</f>
        <v>22.65</v>
      </c>
      <c r="V83" s="3">
        <f t="shared" si="10"/>
        <v>21.484999999999999</v>
      </c>
      <c r="X83" s="2" t="str">
        <f>IF(Telai!BT79="","",ABS(Telai!BT79))</f>
        <v/>
      </c>
      <c r="Y83" s="3">
        <f>IF(X83="",Y82,Telai!BQ79)</f>
        <v>22.65</v>
      </c>
      <c r="Z83" s="3">
        <f t="shared" si="11"/>
        <v>21.484999999999999</v>
      </c>
    </row>
    <row r="84" spans="4:26">
      <c r="D84" s="2" t="str">
        <f>IF(Telai!G80="","",ABS(Telai!G80))</f>
        <v/>
      </c>
      <c r="E84" s="3">
        <f>IF(D84="",E83,Telai!D80)</f>
        <v>22.65</v>
      </c>
      <c r="F84" s="3">
        <f t="shared" si="6"/>
        <v>28.849499999999999</v>
      </c>
      <c r="H84" s="2" t="str">
        <f>IF(Telai!T80="","",ABS(Telai!T80))</f>
        <v/>
      </c>
      <c r="I84" s="3">
        <f>IF(H84="",I83,Telai!Q80)</f>
        <v>22.65</v>
      </c>
      <c r="J84" s="3">
        <f t="shared" si="7"/>
        <v>27.747500000000002</v>
      </c>
      <c r="L84" s="2" t="str">
        <f>IF(Telai!AG80="","",ABS(Telai!AG80))</f>
        <v/>
      </c>
      <c r="M84" s="3">
        <f>IF(L84="",M83,Telai!AD80)</f>
        <v>22.65</v>
      </c>
      <c r="N84" s="3">
        <f t="shared" si="8"/>
        <v>26.094999999999999</v>
      </c>
      <c r="P84" s="2" t="str">
        <f>IF(Telai!AT80="","",ABS(Telai!AT80))</f>
        <v/>
      </c>
      <c r="Q84" s="3">
        <f>IF(P84="",Q83,Telai!AQ80)</f>
        <v>22.65</v>
      </c>
      <c r="R84" s="3">
        <f t="shared" si="9"/>
        <v>23.921500000000002</v>
      </c>
      <c r="T84" s="2" t="str">
        <f>IF(Telai!BG80="","",ABS(Telai!BG80))</f>
        <v/>
      </c>
      <c r="U84" s="3">
        <f>IF(T84="",U83,Telai!BD80)</f>
        <v>22.65</v>
      </c>
      <c r="V84" s="3">
        <f t="shared" si="10"/>
        <v>21.484999999999999</v>
      </c>
      <c r="X84" s="2" t="str">
        <f>IF(Telai!BT80="","",ABS(Telai!BT80))</f>
        <v/>
      </c>
      <c r="Y84" s="3">
        <f>IF(X84="",Y83,Telai!BQ80)</f>
        <v>22.65</v>
      </c>
      <c r="Z84" s="3">
        <f t="shared" si="11"/>
        <v>21.484999999999999</v>
      </c>
    </row>
    <row r="85" spans="4:26">
      <c r="D85" s="47"/>
      <c r="E85" s="47"/>
      <c r="F85" s="47"/>
      <c r="H85" s="47"/>
      <c r="I85" s="47"/>
      <c r="J85" s="47"/>
      <c r="L85" s="47"/>
      <c r="M85" s="47"/>
      <c r="N85" s="47"/>
      <c r="P85" s="47"/>
      <c r="Q85" s="47"/>
      <c r="R85" s="47"/>
      <c r="T85" s="47"/>
      <c r="U85" s="47"/>
      <c r="V85" s="47"/>
      <c r="X85" s="47"/>
      <c r="Y85" s="47"/>
      <c r="Z85" s="47"/>
    </row>
  </sheetData>
  <sheetProtection sheet="1" objects="1" scenarios="1" selectLockedCell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110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101</v>
      </c>
      <c r="H40" s="6" t="str">
        <f>D40</f>
        <v>piano 5</v>
      </c>
      <c r="I40" s="6" t="s">
        <v>103</v>
      </c>
      <c r="L40" s="6" t="str">
        <f>H40</f>
        <v>piano 5</v>
      </c>
      <c r="M40" s="6" t="s">
        <v>116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33.161500000000004</v>
      </c>
      <c r="B42" s="3">
        <f>MIN(F42:F62,J42:J62,N42:N62,R42:R62,V42:V62,Z42:Z62)</f>
        <v>0.15</v>
      </c>
      <c r="D42" s="3">
        <f>IF(Telai!F33="","",ABS(Telai!F33))</f>
        <v>12.951000000000001</v>
      </c>
      <c r="E42" s="3">
        <f t="shared" ref="E42:E62" si="0">IF(D42="",E41,$A$43+D42*$E$1)</f>
        <v>32.775500000000001</v>
      </c>
      <c r="F42" s="3">
        <f>IF(D42="",F41,Telai!D33)</f>
        <v>0.15</v>
      </c>
      <c r="H42" s="3">
        <f>IF(Telai!U33="","",ABS(Telai!H33))</f>
        <v>0.77200000000000002</v>
      </c>
      <c r="I42" s="3">
        <f t="shared" ref="I42:I62" si="1">IF(H42="",I41,$A$43+H42*$E$1)</f>
        <v>26.686</v>
      </c>
      <c r="J42" s="3">
        <f>IF(H42="",J41,Telai!Q33)</f>
        <v>0.15</v>
      </c>
      <c r="L42" s="3">
        <f>IF(D42="","",D42+H42)</f>
        <v>13.723000000000001</v>
      </c>
      <c r="M42" s="3">
        <f t="shared" ref="M42:M62" si="2">IF(L42="",M41,$A$43+L42*$E$1)</f>
        <v>33.161500000000004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IF(Telai!F34="","",ABS(Telai!F34))</f>
        <v>12.865499999999999</v>
      </c>
      <c r="E43" s="3">
        <f t="shared" si="0"/>
        <v>32.732750000000003</v>
      </c>
      <c r="F43" s="3">
        <f>IF(D43="",F42,Telai!D34)</f>
        <v>2.35</v>
      </c>
      <c r="H43" s="3">
        <f>IF(Telai!U34="","",ABS(Telai!H34))</f>
        <v>0.47599999999999992</v>
      </c>
      <c r="I43" s="3">
        <f t="shared" si="1"/>
        <v>26.538</v>
      </c>
      <c r="J43" s="3">
        <f>IF(H43="",J42,Telai!Q34)</f>
        <v>2.35</v>
      </c>
      <c r="L43" s="3">
        <f t="shared" ref="L43:L62" si="3">IF(D43="","",D43+H43)</f>
        <v>13.341499999999998</v>
      </c>
      <c r="M43" s="3">
        <f t="shared" si="2"/>
        <v>32.970750000000002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IF(Telai!F35="","",ABS(Telai!F35))</f>
        <v>12.78</v>
      </c>
      <c r="E44" s="3">
        <f t="shared" si="0"/>
        <v>32.69</v>
      </c>
      <c r="F44" s="3">
        <f>IF(D44="",F43,Telai!D35)</f>
        <v>4.55</v>
      </c>
      <c r="H44" s="3">
        <f>IF(Telai!U35="","",ABS(Telai!H35))</f>
        <v>0.18</v>
      </c>
      <c r="I44" s="3">
        <f t="shared" si="1"/>
        <v>26.39</v>
      </c>
      <c r="J44" s="3">
        <f>IF(H44="",J43,Telai!Q35)</f>
        <v>4.55</v>
      </c>
      <c r="L44" s="3">
        <f t="shared" si="3"/>
        <v>12.959999999999999</v>
      </c>
      <c r="M44" s="3">
        <f t="shared" si="2"/>
        <v>32.78</v>
      </c>
      <c r="N44" s="3">
        <f>IF(L44="",N43,Telai!AD35)</f>
        <v>4.55</v>
      </c>
    </row>
    <row r="45" spans="1:14">
      <c r="A45" s="3">
        <f>M62</f>
        <v>33.171999999999997</v>
      </c>
      <c r="B45" s="3">
        <f>MAX(F42:F62,J42:J62,N42:N62,R42:R62,V42:V62,Z42:Z62)</f>
        <v>15.85</v>
      </c>
      <c r="D45" s="3">
        <f>IF(Telai!F36="","",ABS(Telai!F36))</f>
        <v>12.704499999999999</v>
      </c>
      <c r="E45" s="3">
        <f t="shared" si="0"/>
        <v>32.652250000000002</v>
      </c>
      <c r="F45" s="3">
        <f>IF(D45="",F44,Telai!D36)</f>
        <v>6.65</v>
      </c>
      <c r="H45" s="3">
        <f>IF(Telai!U36="","",ABS(Telai!H36))</f>
        <v>0.10250000000000004</v>
      </c>
      <c r="I45" s="3">
        <f t="shared" si="1"/>
        <v>26.35125</v>
      </c>
      <c r="J45" s="3">
        <f>IF(H45="",J44,Telai!Q36)</f>
        <v>6.65</v>
      </c>
      <c r="L45" s="3">
        <f t="shared" si="3"/>
        <v>12.806999999999999</v>
      </c>
      <c r="M45" s="3">
        <f t="shared" si="2"/>
        <v>32.703499999999998</v>
      </c>
      <c r="N45" s="3">
        <f>IF(L45="",N44,Telai!AD36)</f>
        <v>6.65</v>
      </c>
    </row>
    <row r="46" spans="1:14">
      <c r="D46" s="3">
        <f>IF(Telai!F37="","",ABS(Telai!F37))</f>
        <v>12.629</v>
      </c>
      <c r="E46" s="3">
        <f t="shared" si="0"/>
        <v>32.6145</v>
      </c>
      <c r="F46" s="3">
        <f>IF(D46="",F45,Telai!D37)</f>
        <v>8.75</v>
      </c>
      <c r="H46" s="3">
        <f>IF(Telai!U37="","",ABS(Telai!H37))</f>
        <v>0.38500000000000001</v>
      </c>
      <c r="I46" s="3">
        <f t="shared" si="1"/>
        <v>26.4925</v>
      </c>
      <c r="J46" s="3">
        <f>IF(H46="",J45,Telai!Q37)</f>
        <v>8.75</v>
      </c>
      <c r="L46" s="3">
        <f t="shared" si="3"/>
        <v>13.013999999999999</v>
      </c>
      <c r="M46" s="3">
        <f t="shared" si="2"/>
        <v>32.807000000000002</v>
      </c>
      <c r="N46" s="3">
        <f>IF(L46="",N45,Telai!AD37)</f>
        <v>8.75</v>
      </c>
    </row>
    <row r="47" spans="1:14">
      <c r="D47" s="3">
        <f>IF(Telai!F38="","",ABS(Telai!F38))</f>
        <v>12.616847003154573</v>
      </c>
      <c r="E47" s="3">
        <f t="shared" si="0"/>
        <v>32.608423501577285</v>
      </c>
      <c r="F47" s="3">
        <f>IF(D47="",F46,Telai!D38)</f>
        <v>9.1198738170346996</v>
      </c>
      <c r="H47" s="3">
        <f>IF(Telai!U38="","",ABS(Telai!H38))</f>
        <v>0.43477444794952674</v>
      </c>
      <c r="I47" s="3">
        <f t="shared" si="1"/>
        <v>26.517387223974765</v>
      </c>
      <c r="J47" s="3">
        <f>IF(H47="",J46,Telai!Q38)</f>
        <v>9.1198738170346996</v>
      </c>
      <c r="L47" s="3">
        <f t="shared" si="3"/>
        <v>13.051621451104101</v>
      </c>
      <c r="M47" s="3">
        <f t="shared" si="2"/>
        <v>32.825810725552053</v>
      </c>
      <c r="N47" s="3">
        <f>IF(L47="",N46,Telai!AD38)</f>
        <v>9.1198738170346996</v>
      </c>
    </row>
    <row r="48" spans="1:14">
      <c r="D48" s="3">
        <f>IF(Telai!F39="","",ABS(Telai!F39))</f>
        <v>12.513999999999999</v>
      </c>
      <c r="E48" s="3">
        <f t="shared" si="0"/>
        <v>32.557000000000002</v>
      </c>
      <c r="F48" s="3">
        <f>IF(D48="",F47,Telai!D39)</f>
        <v>12.25</v>
      </c>
      <c r="H48" s="3">
        <f>IF(Telai!U39="","",ABS(Telai!H39))</f>
        <v>0.85599999999999998</v>
      </c>
      <c r="I48" s="3">
        <f t="shared" si="1"/>
        <v>26.728000000000002</v>
      </c>
      <c r="J48" s="3">
        <f>IF(H48="",J47,Telai!Q39)</f>
        <v>12.25</v>
      </c>
      <c r="L48" s="3">
        <f t="shared" si="3"/>
        <v>13.37</v>
      </c>
      <c r="M48" s="3">
        <f t="shared" si="2"/>
        <v>32.984999999999999</v>
      </c>
      <c r="N48" s="3">
        <f>IF(L48="",N47,Telai!AD39)</f>
        <v>12.25</v>
      </c>
    </row>
    <row r="49" spans="1:14">
      <c r="D49" s="3">
        <f>IF(Telai!F40="","",ABS(Telai!F40))</f>
        <v>12.459</v>
      </c>
      <c r="E49" s="3">
        <f t="shared" si="0"/>
        <v>32.529499999999999</v>
      </c>
      <c r="F49" s="3">
        <f>IF(D49="",F48,Telai!D40)</f>
        <v>14.05</v>
      </c>
      <c r="H49" s="3">
        <f>IF(Telai!U40="","",ABS(Telai!H40))</f>
        <v>1.0980000000000001</v>
      </c>
      <c r="I49" s="3">
        <f t="shared" si="1"/>
        <v>26.849</v>
      </c>
      <c r="J49" s="3">
        <f>IF(H49="",J48,Telai!Q40)</f>
        <v>14.05</v>
      </c>
      <c r="L49" s="3">
        <f t="shared" si="3"/>
        <v>13.557</v>
      </c>
      <c r="M49" s="3">
        <f t="shared" si="2"/>
        <v>33.078499999999998</v>
      </c>
      <c r="N49" s="3">
        <f>IF(L49="",N48,Telai!AD40)</f>
        <v>14.05</v>
      </c>
    </row>
    <row r="50" spans="1:14">
      <c r="D50" s="3">
        <f>IF(Telai!F41="","",ABS(Telai!F41))</f>
        <v>12.404</v>
      </c>
      <c r="E50" s="3">
        <f t="shared" si="0"/>
        <v>32.502000000000002</v>
      </c>
      <c r="F50" s="3">
        <f>IF(D50="",F49,Telai!D41)</f>
        <v>15.85</v>
      </c>
      <c r="H50" s="3">
        <f>IF(Telai!U41="","",ABS(Telai!H41))</f>
        <v>1.34</v>
      </c>
      <c r="I50" s="3">
        <f t="shared" si="1"/>
        <v>26.970000000000002</v>
      </c>
      <c r="J50" s="3">
        <f>IF(H50="",J49,Telai!Q41)</f>
        <v>15.85</v>
      </c>
      <c r="L50" s="3">
        <f t="shared" si="3"/>
        <v>13.744</v>
      </c>
      <c r="M50" s="3">
        <f t="shared" si="2"/>
        <v>33.171999999999997</v>
      </c>
      <c r="N50" s="3">
        <f>IF(L50="",N49,Telai!AD41)</f>
        <v>15.85</v>
      </c>
    </row>
    <row r="51" spans="1:14">
      <c r="D51" s="3" t="str">
        <f>IF(Telai!F42="","",ABS(Telai!F42))</f>
        <v/>
      </c>
      <c r="E51" s="3">
        <f t="shared" si="0"/>
        <v>32.502000000000002</v>
      </c>
      <c r="F51" s="3">
        <f>IF(D51="",F50,Telai!D42)</f>
        <v>15.85</v>
      </c>
      <c r="H51" s="3" t="str">
        <f>IF(Telai!U42="","",ABS(Telai!H42))</f>
        <v/>
      </c>
      <c r="I51" s="3">
        <f t="shared" si="1"/>
        <v>26.970000000000002</v>
      </c>
      <c r="J51" s="3">
        <f>IF(H51="",J50,Telai!Q42)</f>
        <v>15.85</v>
      </c>
      <c r="L51" s="3" t="str">
        <f t="shared" si="3"/>
        <v/>
      </c>
      <c r="M51" s="3">
        <f t="shared" si="2"/>
        <v>33.171999999999997</v>
      </c>
      <c r="N51" s="3">
        <f>IF(L51="",N50,Telai!AD42)</f>
        <v>15.85</v>
      </c>
    </row>
    <row r="52" spans="1:14">
      <c r="D52" s="3" t="str">
        <f>IF(Telai!F43="","",ABS(Telai!F43))</f>
        <v/>
      </c>
      <c r="E52" s="3">
        <f t="shared" si="0"/>
        <v>32.502000000000002</v>
      </c>
      <c r="F52" s="3">
        <f>IF(D52="",F51,Telai!D43)</f>
        <v>15.85</v>
      </c>
      <c r="H52" s="3" t="str">
        <f>IF(Telai!U43="","",ABS(Telai!H43))</f>
        <v/>
      </c>
      <c r="I52" s="3">
        <f t="shared" si="1"/>
        <v>26.970000000000002</v>
      </c>
      <c r="J52" s="3">
        <f>IF(H52="",J51,Telai!Q43)</f>
        <v>15.85</v>
      </c>
      <c r="L52" s="3" t="str">
        <f t="shared" si="3"/>
        <v/>
      </c>
      <c r="M52" s="3">
        <f t="shared" si="2"/>
        <v>33.171999999999997</v>
      </c>
      <c r="N52" s="3">
        <f>IF(L52="",N51,Telai!AD43)</f>
        <v>15.85</v>
      </c>
    </row>
    <row r="53" spans="1:14">
      <c r="D53" s="3" t="str">
        <f>IF(Telai!F44="","",ABS(Telai!F44))</f>
        <v/>
      </c>
      <c r="E53" s="3">
        <f t="shared" si="0"/>
        <v>32.502000000000002</v>
      </c>
      <c r="F53" s="3">
        <f>IF(D53="",F52,Telai!D44)</f>
        <v>15.85</v>
      </c>
      <c r="H53" s="3" t="str">
        <f>IF(Telai!U44="","",ABS(Telai!H44))</f>
        <v/>
      </c>
      <c r="I53" s="3">
        <f t="shared" si="1"/>
        <v>26.970000000000002</v>
      </c>
      <c r="J53" s="3">
        <f>IF(H53="",J52,Telai!Q44)</f>
        <v>15.85</v>
      </c>
      <c r="L53" s="3" t="str">
        <f t="shared" si="3"/>
        <v/>
      </c>
      <c r="M53" s="3">
        <f t="shared" si="2"/>
        <v>33.171999999999997</v>
      </c>
      <c r="N53" s="3">
        <f>IF(L53="",N52,Telai!AD44)</f>
        <v>15.85</v>
      </c>
    </row>
    <row r="54" spans="1:14">
      <c r="D54" s="3" t="str">
        <f>IF(Telai!F45="","",ABS(Telai!F45))</f>
        <v/>
      </c>
      <c r="E54" s="3">
        <f t="shared" si="0"/>
        <v>32.502000000000002</v>
      </c>
      <c r="F54" s="3">
        <f>IF(D54="",F53,Telai!D45)</f>
        <v>15.85</v>
      </c>
      <c r="H54" s="3" t="str">
        <f>IF(Telai!U45="","",ABS(Telai!H45))</f>
        <v/>
      </c>
      <c r="I54" s="3">
        <f t="shared" si="1"/>
        <v>26.970000000000002</v>
      </c>
      <c r="J54" s="3">
        <f>IF(H54="",J53,Telai!Q45)</f>
        <v>15.85</v>
      </c>
      <c r="L54" s="3" t="str">
        <f t="shared" si="3"/>
        <v/>
      </c>
      <c r="M54" s="3">
        <f t="shared" si="2"/>
        <v>33.171999999999997</v>
      </c>
      <c r="N54" s="3">
        <f>IF(L54="",N53,Telai!AD45)</f>
        <v>15.85</v>
      </c>
    </row>
    <row r="55" spans="1:14">
      <c r="D55" s="3" t="str">
        <f>IF(Telai!F46="","",ABS(Telai!F46))</f>
        <v/>
      </c>
      <c r="E55" s="3">
        <f t="shared" si="0"/>
        <v>32.502000000000002</v>
      </c>
      <c r="F55" s="3">
        <f>IF(D55="",F54,Telai!D46)</f>
        <v>15.85</v>
      </c>
      <c r="H55" s="3" t="str">
        <f>IF(Telai!U46="","",ABS(Telai!H46))</f>
        <v/>
      </c>
      <c r="I55" s="3">
        <f t="shared" si="1"/>
        <v>26.970000000000002</v>
      </c>
      <c r="J55" s="3">
        <f>IF(H55="",J54,Telai!Q46)</f>
        <v>15.85</v>
      </c>
      <c r="L55" s="3" t="str">
        <f t="shared" si="3"/>
        <v/>
      </c>
      <c r="M55" s="3">
        <f t="shared" si="2"/>
        <v>33.171999999999997</v>
      </c>
      <c r="N55" s="3">
        <f>IF(L55="",N54,Telai!AD46)</f>
        <v>15.85</v>
      </c>
    </row>
    <row r="56" spans="1:14">
      <c r="D56" s="3" t="str">
        <f>IF(Telai!F47="","",ABS(Telai!F47))</f>
        <v/>
      </c>
      <c r="E56" s="3">
        <f t="shared" si="0"/>
        <v>32.502000000000002</v>
      </c>
      <c r="F56" s="3">
        <f>IF(D56="",F55,Telai!D47)</f>
        <v>15.85</v>
      </c>
      <c r="H56" s="3" t="str">
        <f>IF(Telai!U47="","",ABS(Telai!H47))</f>
        <v/>
      </c>
      <c r="I56" s="3">
        <f t="shared" si="1"/>
        <v>26.970000000000002</v>
      </c>
      <c r="J56" s="3">
        <f>IF(H56="",J55,Telai!Q47)</f>
        <v>15.85</v>
      </c>
      <c r="L56" s="3" t="str">
        <f t="shared" si="3"/>
        <v/>
      </c>
      <c r="M56" s="3">
        <f t="shared" si="2"/>
        <v>33.171999999999997</v>
      </c>
      <c r="N56" s="3">
        <f>IF(L56="",N55,Telai!AD47)</f>
        <v>15.85</v>
      </c>
    </row>
    <row r="57" spans="1:14">
      <c r="D57" s="3" t="str">
        <f>IF(Telai!F48="","",ABS(Telai!F48))</f>
        <v/>
      </c>
      <c r="E57" s="3">
        <f t="shared" si="0"/>
        <v>32.502000000000002</v>
      </c>
      <c r="F57" s="3">
        <f>IF(D57="",F56,Telai!D48)</f>
        <v>15.85</v>
      </c>
      <c r="H57" s="3" t="str">
        <f>IF(Telai!U48="","",ABS(Telai!H48))</f>
        <v/>
      </c>
      <c r="I57" s="3">
        <f t="shared" si="1"/>
        <v>26.970000000000002</v>
      </c>
      <c r="J57" s="3">
        <f>IF(H57="",J56,Telai!Q48)</f>
        <v>15.85</v>
      </c>
      <c r="L57" s="3" t="str">
        <f t="shared" si="3"/>
        <v/>
      </c>
      <c r="M57" s="3">
        <f t="shared" si="2"/>
        <v>33.171999999999997</v>
      </c>
      <c r="N57" s="3">
        <f>IF(L57="",N56,Telai!AD48)</f>
        <v>15.85</v>
      </c>
    </row>
    <row r="58" spans="1:14">
      <c r="D58" s="3" t="str">
        <f>IF(Telai!F49="","",ABS(Telai!F49))</f>
        <v/>
      </c>
      <c r="E58" s="3">
        <f t="shared" si="0"/>
        <v>32.502000000000002</v>
      </c>
      <c r="F58" s="3">
        <f>IF(D58="",F57,Telai!D49)</f>
        <v>15.85</v>
      </c>
      <c r="H58" s="3" t="str">
        <f>IF(Telai!U49="","",ABS(Telai!H49))</f>
        <v/>
      </c>
      <c r="I58" s="3">
        <f t="shared" si="1"/>
        <v>26.970000000000002</v>
      </c>
      <c r="J58" s="3">
        <f>IF(H58="",J57,Telai!Q49)</f>
        <v>15.85</v>
      </c>
      <c r="L58" s="3" t="str">
        <f t="shared" si="3"/>
        <v/>
      </c>
      <c r="M58" s="3">
        <f t="shared" si="2"/>
        <v>33.171999999999997</v>
      </c>
      <c r="N58" s="3">
        <f>IF(L58="",N57,Telai!AD49)</f>
        <v>15.85</v>
      </c>
    </row>
    <row r="59" spans="1:14">
      <c r="D59" s="3" t="str">
        <f>IF(Telai!F50="","",ABS(Telai!F50))</f>
        <v/>
      </c>
      <c r="E59" s="3">
        <f t="shared" si="0"/>
        <v>32.502000000000002</v>
      </c>
      <c r="F59" s="3">
        <f>IF(D59="",F58,Telai!D50)</f>
        <v>15.85</v>
      </c>
      <c r="H59" s="3" t="str">
        <f>IF(Telai!U50="","",ABS(Telai!H50))</f>
        <v/>
      </c>
      <c r="I59" s="3">
        <f t="shared" si="1"/>
        <v>26.970000000000002</v>
      </c>
      <c r="J59" s="3">
        <f>IF(H59="",J58,Telai!Q50)</f>
        <v>15.85</v>
      </c>
      <c r="L59" s="3" t="str">
        <f t="shared" si="3"/>
        <v/>
      </c>
      <c r="M59" s="3">
        <f t="shared" si="2"/>
        <v>33.171999999999997</v>
      </c>
      <c r="N59" s="3">
        <f>IF(L59="",N58,Telai!AD50)</f>
        <v>15.85</v>
      </c>
    </row>
    <row r="60" spans="1:14">
      <c r="D60" s="3" t="str">
        <f>IF(Telai!F51="","",ABS(Telai!F51))</f>
        <v/>
      </c>
      <c r="E60" s="3">
        <f t="shared" si="0"/>
        <v>32.502000000000002</v>
      </c>
      <c r="F60" s="3">
        <f>IF(D60="",F59,Telai!D51)</f>
        <v>15.85</v>
      </c>
      <c r="H60" s="3" t="str">
        <f>IF(Telai!U51="","",ABS(Telai!H51))</f>
        <v/>
      </c>
      <c r="I60" s="3">
        <f t="shared" si="1"/>
        <v>26.970000000000002</v>
      </c>
      <c r="J60" s="3">
        <f>IF(H60="",J59,Telai!Q51)</f>
        <v>15.85</v>
      </c>
      <c r="L60" s="3" t="str">
        <f t="shared" si="3"/>
        <v/>
      </c>
      <c r="M60" s="3">
        <f t="shared" si="2"/>
        <v>33.171999999999997</v>
      </c>
      <c r="N60" s="3">
        <f>IF(L60="",N59,Telai!AD51)</f>
        <v>15.85</v>
      </c>
    </row>
    <row r="61" spans="1:14">
      <c r="A61" s="7" t="s">
        <v>113</v>
      </c>
      <c r="D61" s="3" t="str">
        <f>IF(Telai!F52="","",ABS(Telai!F52))</f>
        <v/>
      </c>
      <c r="E61" s="3">
        <f t="shared" si="0"/>
        <v>32.502000000000002</v>
      </c>
      <c r="F61" s="3">
        <f>IF(D61="",F60,Telai!D52)</f>
        <v>15.85</v>
      </c>
      <c r="H61" s="3" t="str">
        <f>IF(Telai!U52="","",ABS(Telai!H52))</f>
        <v/>
      </c>
      <c r="I61" s="3">
        <f t="shared" si="1"/>
        <v>26.970000000000002</v>
      </c>
      <c r="J61" s="3">
        <f>IF(H61="",J60,Telai!Q52)</f>
        <v>15.85</v>
      </c>
      <c r="L61" s="3" t="str">
        <f t="shared" si="3"/>
        <v/>
      </c>
      <c r="M61" s="3">
        <f t="shared" si="2"/>
        <v>33.171999999999997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IF(Telai!F53="","",ABS(Telai!F53))</f>
        <v/>
      </c>
      <c r="E62" s="3">
        <f t="shared" si="0"/>
        <v>32.502000000000002</v>
      </c>
      <c r="F62" s="3">
        <f>IF(D62="",F61,Telai!D53)</f>
        <v>15.85</v>
      </c>
      <c r="H62" s="3" t="str">
        <f>IF(Telai!U53="","",ABS(Telai!H53))</f>
        <v/>
      </c>
      <c r="I62" s="3">
        <f t="shared" si="1"/>
        <v>26.970000000000002</v>
      </c>
      <c r="J62" s="3">
        <f>IF(H62="",J61,Telai!Q53)</f>
        <v>15.85</v>
      </c>
      <c r="L62" s="3" t="str">
        <f t="shared" si="3"/>
        <v/>
      </c>
      <c r="M62" s="3">
        <f t="shared" si="2"/>
        <v>33.171999999999997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20.678999999999998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IF(Telai!F60="","",ABS(Telai!F60))</f>
        <v>1.2529999999999999</v>
      </c>
      <c r="E64" s="3">
        <f>IF(D64="",E63,Telai!D60)</f>
        <v>0.15</v>
      </c>
      <c r="F64" s="3">
        <f t="shared" ref="F64:F84" si="4">IF(D64="",F63,$B$64+D64*$E$1)</f>
        <v>20.1265</v>
      </c>
      <c r="G64" s="3"/>
      <c r="H64" s="3">
        <f>IF(Telai!U60="","",ABS(Telai!H60))</f>
        <v>1.105</v>
      </c>
      <c r="I64" s="3">
        <f>IF(H64="",I63,Telai!Q60)</f>
        <v>0.15</v>
      </c>
      <c r="J64" s="3">
        <f t="shared" ref="J64:J84" si="5">IF(H64="",J63,$B$64+H64*$E$1)</f>
        <v>20.052499999999998</v>
      </c>
      <c r="K64" s="3"/>
      <c r="L64" s="3">
        <f t="shared" ref="L64:L84" si="6">IF(D64="","",D64+H64)</f>
        <v>2.3579999999999997</v>
      </c>
      <c r="M64" s="3">
        <f>IF(L64="",M63,Telai!AD60)</f>
        <v>0.15</v>
      </c>
      <c r="N64" s="3">
        <f t="shared" ref="N64:N84" si="7">IF(L64="",N63,$B$64+L64*$E$1)</f>
        <v>20.678999999999998</v>
      </c>
    </row>
    <row r="65" spans="1:14">
      <c r="A65" s="3">
        <f>A66</f>
        <v>22.65</v>
      </c>
      <c r="B65" s="1">
        <f>B64</f>
        <v>19.5</v>
      </c>
      <c r="D65" s="3">
        <f>IF(Telai!F61="","",ABS(Telai!F61))</f>
        <v>1.18</v>
      </c>
      <c r="E65" s="3">
        <f>IF(D65="",E64,Telai!D61)</f>
        <v>2.5</v>
      </c>
      <c r="F65" s="3">
        <f t="shared" si="4"/>
        <v>20.09</v>
      </c>
      <c r="G65" s="3"/>
      <c r="H65" s="3">
        <f>IF(Telai!U61="","",ABS(Telai!H61))</f>
        <v>0.78899999999999992</v>
      </c>
      <c r="I65" s="3">
        <f>IF(H65="",I64,Telai!Q61)</f>
        <v>2.5</v>
      </c>
      <c r="J65" s="3">
        <f t="shared" si="5"/>
        <v>19.894500000000001</v>
      </c>
      <c r="K65" s="3"/>
      <c r="L65" s="3">
        <f t="shared" si="6"/>
        <v>1.9689999999999999</v>
      </c>
      <c r="M65" s="3">
        <f>IF(L65="",M64,Telai!AD61)</f>
        <v>2.5</v>
      </c>
      <c r="N65" s="3">
        <f t="shared" si="7"/>
        <v>20.484500000000001</v>
      </c>
    </row>
    <row r="66" spans="1:14">
      <c r="A66" s="3">
        <f>MAX(E64:E84,I64:I84,M64:M84,Q64:Q84,U64:U84,Y64:Y84)</f>
        <v>22.65</v>
      </c>
      <c r="B66" s="3">
        <f>N84</f>
        <v>21.4605</v>
      </c>
      <c r="D66" s="3">
        <f>IF(Telai!F62="","",ABS(Telai!F62))</f>
        <v>1.107</v>
      </c>
      <c r="E66" s="3">
        <f>IF(D66="",E65,Telai!D62)</f>
        <v>4.8499999999999996</v>
      </c>
      <c r="F66" s="3">
        <f t="shared" si="4"/>
        <v>20.0535</v>
      </c>
      <c r="G66" s="3"/>
      <c r="H66" s="3">
        <f>IF(Telai!U62="","",ABS(Telai!H62))</f>
        <v>0.47299999999999998</v>
      </c>
      <c r="I66" s="3">
        <f>IF(H66="",I65,Telai!Q62)</f>
        <v>4.8499999999999996</v>
      </c>
      <c r="J66" s="3">
        <f t="shared" si="5"/>
        <v>19.736499999999999</v>
      </c>
      <c r="K66" s="3"/>
      <c r="L66" s="3">
        <f t="shared" si="6"/>
        <v>1.58</v>
      </c>
      <c r="M66" s="3">
        <f>IF(L66="",M65,Telai!AD62)</f>
        <v>4.8499999999999996</v>
      </c>
      <c r="N66" s="3">
        <f t="shared" si="7"/>
        <v>20.29</v>
      </c>
    </row>
    <row r="67" spans="1:14">
      <c r="D67" s="3">
        <f>IF(Telai!F63="","",ABS(Telai!F63))</f>
        <v>1.1179999999999999</v>
      </c>
      <c r="E67" s="3">
        <f>IF(D67="",E66,Telai!D63)</f>
        <v>6.75</v>
      </c>
      <c r="F67" s="3">
        <f t="shared" si="4"/>
        <v>20.059000000000001</v>
      </c>
      <c r="G67" s="3"/>
      <c r="H67" s="3">
        <f>IF(Telai!U63="","",ABS(Telai!H63))</f>
        <v>0.21699999999999997</v>
      </c>
      <c r="I67" s="3">
        <f>IF(H67="",I66,Telai!Q63)</f>
        <v>6.75</v>
      </c>
      <c r="J67" s="3">
        <f t="shared" si="5"/>
        <v>19.608499999999999</v>
      </c>
      <c r="K67" s="3"/>
      <c r="L67" s="3">
        <f t="shared" si="6"/>
        <v>1.335</v>
      </c>
      <c r="M67" s="3">
        <f>IF(L67="",M66,Telai!AD63)</f>
        <v>6.75</v>
      </c>
      <c r="N67" s="3">
        <f t="shared" si="7"/>
        <v>20.1675</v>
      </c>
    </row>
    <row r="68" spans="1:14">
      <c r="D68" s="3">
        <f>IF(Telai!F64="","",ABS(Telai!F64))</f>
        <v>1.129</v>
      </c>
      <c r="E68" s="3">
        <f>IF(D68="",E67,Telai!D64)</f>
        <v>8.65</v>
      </c>
      <c r="F68" s="3">
        <f t="shared" si="4"/>
        <v>20.064499999999999</v>
      </c>
      <c r="G68" s="3"/>
      <c r="H68" s="3">
        <f>IF(Telai!U64="","",ABS(Telai!H64))</f>
        <v>3.9E-2</v>
      </c>
      <c r="I68" s="3">
        <f>IF(H68="",I67,Telai!Q64)</f>
        <v>8.65</v>
      </c>
      <c r="J68" s="3">
        <f t="shared" si="5"/>
        <v>19.519500000000001</v>
      </c>
      <c r="K68" s="3"/>
      <c r="L68" s="3">
        <f t="shared" si="6"/>
        <v>1.1679999999999999</v>
      </c>
      <c r="M68" s="3">
        <f>IF(L68="",M67,Telai!AD64)</f>
        <v>8.65</v>
      </c>
      <c r="N68" s="3">
        <f t="shared" si="7"/>
        <v>20.084</v>
      </c>
    </row>
    <row r="69" spans="1:14">
      <c r="D69" s="3">
        <f>IF(Telai!F65="","",ABS(Telai!F65))</f>
        <v>1.1815</v>
      </c>
      <c r="E69" s="3">
        <f>IF(D69="",E68,Telai!D65)</f>
        <v>10.15</v>
      </c>
      <c r="F69" s="3">
        <f t="shared" si="4"/>
        <v>20.09075</v>
      </c>
      <c r="G69" s="3"/>
      <c r="H69" s="3">
        <f>IF(Telai!U65="","",ABS(Telai!H65))</f>
        <v>0.24050000000000002</v>
      </c>
      <c r="I69" s="3">
        <f>IF(H69="",I68,Telai!Q65)</f>
        <v>10.15</v>
      </c>
      <c r="J69" s="3">
        <f t="shared" si="5"/>
        <v>19.620249999999999</v>
      </c>
      <c r="K69" s="3"/>
      <c r="L69" s="3">
        <f t="shared" si="6"/>
        <v>1.4219999999999999</v>
      </c>
      <c r="M69" s="3">
        <f>IF(L69="",M68,Telai!AD65)</f>
        <v>10.15</v>
      </c>
      <c r="N69" s="3">
        <f t="shared" si="7"/>
        <v>20.210999999999999</v>
      </c>
    </row>
    <row r="70" spans="1:14">
      <c r="D70" s="3">
        <f>IF(Telai!F66="","",ABS(Telai!F66))</f>
        <v>1.234</v>
      </c>
      <c r="E70" s="3">
        <f>IF(D70="",E69,Telai!D66)</f>
        <v>11.65</v>
      </c>
      <c r="F70" s="3">
        <f t="shared" si="4"/>
        <v>20.117000000000001</v>
      </c>
      <c r="G70" s="3"/>
      <c r="H70" s="3">
        <f>IF(Telai!U66="","",ABS(Telai!H66))</f>
        <v>0.442</v>
      </c>
      <c r="I70" s="3">
        <f>IF(H70="",I69,Telai!Q66)</f>
        <v>11.65</v>
      </c>
      <c r="J70" s="3">
        <f t="shared" si="5"/>
        <v>19.721</v>
      </c>
      <c r="K70" s="3"/>
      <c r="L70" s="3">
        <f t="shared" si="6"/>
        <v>1.6759999999999999</v>
      </c>
      <c r="M70" s="3">
        <f>IF(L70="",M69,Telai!AD66)</f>
        <v>11.65</v>
      </c>
      <c r="N70" s="3">
        <f t="shared" si="7"/>
        <v>20.338000000000001</v>
      </c>
    </row>
    <row r="71" spans="1:14">
      <c r="D71" s="3">
        <f>IF(Telai!F67="","",ABS(Telai!F67))</f>
        <v>1.3220000000000001</v>
      </c>
      <c r="E71" s="3">
        <f>IF(D71="",E70,Telai!D67)</f>
        <v>13.25</v>
      </c>
      <c r="F71" s="3">
        <f t="shared" si="4"/>
        <v>20.161000000000001</v>
      </c>
      <c r="G71" s="3"/>
      <c r="H71" s="3">
        <f>IF(Telai!U67="","",ABS(Telai!H67))</f>
        <v>0.65749999999999997</v>
      </c>
      <c r="I71" s="3">
        <f>IF(H71="",I70,Telai!Q67)</f>
        <v>13.25</v>
      </c>
      <c r="J71" s="3">
        <f t="shared" si="5"/>
        <v>19.828749999999999</v>
      </c>
      <c r="K71" s="3"/>
      <c r="L71" s="3">
        <f t="shared" si="6"/>
        <v>1.9795</v>
      </c>
      <c r="M71" s="3">
        <f>IF(L71="",M70,Telai!AD67)</f>
        <v>13.25</v>
      </c>
      <c r="N71" s="3">
        <f t="shared" si="7"/>
        <v>20.489750000000001</v>
      </c>
    </row>
    <row r="72" spans="1:14">
      <c r="D72" s="3">
        <f>IF(Telai!F68="","",ABS(Telai!F68))</f>
        <v>1.41</v>
      </c>
      <c r="E72" s="3">
        <f>IF(D72="",E71,Telai!D68)</f>
        <v>14.85</v>
      </c>
      <c r="F72" s="3">
        <f t="shared" si="4"/>
        <v>20.204999999999998</v>
      </c>
      <c r="G72" s="3"/>
      <c r="H72" s="3">
        <f>IF(Telai!U68="","",ABS(Telai!H68))</f>
        <v>0.873</v>
      </c>
      <c r="I72" s="3">
        <f>IF(H72="",I71,Telai!Q68)</f>
        <v>14.85</v>
      </c>
      <c r="J72" s="3">
        <f t="shared" si="5"/>
        <v>19.936499999999999</v>
      </c>
      <c r="K72" s="3"/>
      <c r="L72" s="3">
        <f t="shared" si="6"/>
        <v>2.2829999999999999</v>
      </c>
      <c r="M72" s="3">
        <f>IF(L72="",M71,Telai!AD68)</f>
        <v>14.85</v>
      </c>
      <c r="N72" s="3">
        <f t="shared" si="7"/>
        <v>20.641500000000001</v>
      </c>
    </row>
    <row r="73" spans="1:14">
      <c r="D73" s="3">
        <f>IF(Telai!F69="","",ABS(Telai!F69))</f>
        <v>1.5585</v>
      </c>
      <c r="E73" s="3">
        <f>IF(D73="",E72,Telai!D69)</f>
        <v>16.95</v>
      </c>
      <c r="F73" s="3">
        <f t="shared" si="4"/>
        <v>20.279250000000001</v>
      </c>
      <c r="G73" s="3"/>
      <c r="H73" s="3">
        <f>IF(Telai!U69="","",ABS(Telai!H69))</f>
        <v>1.1555</v>
      </c>
      <c r="I73" s="3">
        <f>IF(H73="",I72,Telai!Q69)</f>
        <v>16.95</v>
      </c>
      <c r="J73" s="3">
        <f t="shared" si="5"/>
        <v>20.077750000000002</v>
      </c>
      <c r="K73" s="3"/>
      <c r="L73" s="3">
        <f t="shared" si="6"/>
        <v>2.714</v>
      </c>
      <c r="M73" s="3">
        <f>IF(L73="",M72,Telai!AD69)</f>
        <v>16.95</v>
      </c>
      <c r="N73" s="3">
        <f t="shared" si="7"/>
        <v>20.856999999999999</v>
      </c>
    </row>
    <row r="74" spans="1:14">
      <c r="D74" s="3">
        <f>IF(Telai!F70="","",ABS(Telai!F70))</f>
        <v>1.7070000000000001</v>
      </c>
      <c r="E74" s="3">
        <f>IF(D74="",E73,Telai!D70)</f>
        <v>19.05</v>
      </c>
      <c r="F74" s="3">
        <f t="shared" si="4"/>
        <v>20.3535</v>
      </c>
      <c r="G74" s="3"/>
      <c r="H74" s="3">
        <f>IF(Telai!U70="","",ABS(Telai!H70))</f>
        <v>1.4379999999999999</v>
      </c>
      <c r="I74" s="3">
        <f>IF(H74="",I73,Telai!Q70)</f>
        <v>19.05</v>
      </c>
      <c r="J74" s="3">
        <f t="shared" si="5"/>
        <v>20.219000000000001</v>
      </c>
      <c r="K74" s="3"/>
      <c r="L74" s="3">
        <f t="shared" si="6"/>
        <v>3.145</v>
      </c>
      <c r="M74" s="3">
        <f>IF(L74="",M73,Telai!AD70)</f>
        <v>19.05</v>
      </c>
      <c r="N74" s="3">
        <f t="shared" si="7"/>
        <v>21.072500000000002</v>
      </c>
    </row>
    <row r="75" spans="1:14">
      <c r="D75" s="3">
        <f>IF(Telai!F71="","",ABS(Telai!F71))</f>
        <v>1.8530000000000002</v>
      </c>
      <c r="E75" s="3">
        <f>IF(D75="",E74,Telai!D71)</f>
        <v>20.85</v>
      </c>
      <c r="F75" s="3">
        <f t="shared" si="4"/>
        <v>20.426500000000001</v>
      </c>
      <c r="G75" s="3"/>
      <c r="H75" s="3">
        <f>IF(Telai!U71="","",ABS(Telai!H71))</f>
        <v>1.6800000000000002</v>
      </c>
      <c r="I75" s="3">
        <f>IF(H75="",I74,Telai!Q71)</f>
        <v>20.85</v>
      </c>
      <c r="J75" s="3">
        <f t="shared" si="5"/>
        <v>20.34</v>
      </c>
      <c r="K75" s="3"/>
      <c r="L75" s="3">
        <f t="shared" si="6"/>
        <v>3.5330000000000004</v>
      </c>
      <c r="M75" s="3">
        <f>IF(L75="",M74,Telai!AD71)</f>
        <v>20.85</v>
      </c>
      <c r="N75" s="3">
        <f t="shared" si="7"/>
        <v>21.266500000000001</v>
      </c>
    </row>
    <row r="76" spans="1:14">
      <c r="D76" s="3">
        <f>IF(Telai!F72="","",ABS(Telai!F72))</f>
        <v>1.9990000000000001</v>
      </c>
      <c r="E76" s="3">
        <f>IF(D76="",E75,Telai!D72)</f>
        <v>22.65</v>
      </c>
      <c r="F76" s="3">
        <f t="shared" si="4"/>
        <v>20.499500000000001</v>
      </c>
      <c r="G76" s="3"/>
      <c r="H76" s="3">
        <f>IF(Telai!U72="","",ABS(Telai!H72))</f>
        <v>1.9219999999999999</v>
      </c>
      <c r="I76" s="3">
        <f>IF(H76="",I75,Telai!Q72)</f>
        <v>22.65</v>
      </c>
      <c r="J76" s="3">
        <f t="shared" si="5"/>
        <v>20.460999999999999</v>
      </c>
      <c r="K76" s="3"/>
      <c r="L76" s="3">
        <f t="shared" si="6"/>
        <v>3.9210000000000003</v>
      </c>
      <c r="M76" s="3">
        <f>IF(L76="",M75,Telai!AD72)</f>
        <v>22.65</v>
      </c>
      <c r="N76" s="3">
        <f t="shared" si="7"/>
        <v>21.4605</v>
      </c>
    </row>
    <row r="77" spans="1:14">
      <c r="D77" s="3" t="str">
        <f>IF(Telai!F73="","",ABS(Telai!F73))</f>
        <v/>
      </c>
      <c r="E77" s="3">
        <f>IF(D77="",E76,Telai!D73)</f>
        <v>22.65</v>
      </c>
      <c r="F77" s="3">
        <f t="shared" si="4"/>
        <v>20.499500000000001</v>
      </c>
      <c r="G77" s="3"/>
      <c r="H77" s="3" t="str">
        <f>IF(Telai!U73="","",ABS(Telai!H73))</f>
        <v/>
      </c>
      <c r="I77" s="3">
        <f>IF(H77="",I76,Telai!Q73)</f>
        <v>22.65</v>
      </c>
      <c r="J77" s="3">
        <f t="shared" si="5"/>
        <v>20.460999999999999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21.4605</v>
      </c>
    </row>
    <row r="78" spans="1:14">
      <c r="D78" s="3" t="str">
        <f>IF(Telai!F74="","",ABS(Telai!F74))</f>
        <v/>
      </c>
      <c r="E78" s="3">
        <f>IF(D78="",E77,Telai!D74)</f>
        <v>22.65</v>
      </c>
      <c r="F78" s="3">
        <f t="shared" si="4"/>
        <v>20.499500000000001</v>
      </c>
      <c r="G78" s="3"/>
      <c r="H78" s="3" t="str">
        <f>IF(Telai!U74="","",ABS(Telai!H74))</f>
        <v/>
      </c>
      <c r="I78" s="3">
        <f>IF(H78="",I77,Telai!Q74)</f>
        <v>22.65</v>
      </c>
      <c r="J78" s="3">
        <f t="shared" si="5"/>
        <v>20.460999999999999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21.4605</v>
      </c>
    </row>
    <row r="79" spans="1:14">
      <c r="D79" s="3" t="str">
        <f>IF(Telai!F75="","",ABS(Telai!F75))</f>
        <v/>
      </c>
      <c r="E79" s="3">
        <f>IF(D79="",E78,Telai!D75)</f>
        <v>22.65</v>
      </c>
      <c r="F79" s="3">
        <f t="shared" si="4"/>
        <v>20.499500000000001</v>
      </c>
      <c r="G79" s="3"/>
      <c r="H79" s="3" t="str">
        <f>IF(Telai!U75="","",ABS(Telai!H75))</f>
        <v/>
      </c>
      <c r="I79" s="3">
        <f>IF(H79="",I78,Telai!Q75)</f>
        <v>22.65</v>
      </c>
      <c r="J79" s="3">
        <f t="shared" si="5"/>
        <v>20.460999999999999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21.4605</v>
      </c>
    </row>
    <row r="80" spans="1:14">
      <c r="D80" s="3" t="str">
        <f>IF(Telai!F76="","",ABS(Telai!F76))</f>
        <v/>
      </c>
      <c r="E80" s="3">
        <f>IF(D80="",E79,Telai!D76)</f>
        <v>22.65</v>
      </c>
      <c r="F80" s="3">
        <f t="shared" si="4"/>
        <v>20.499500000000001</v>
      </c>
      <c r="G80" s="3"/>
      <c r="H80" s="3" t="str">
        <f>IF(Telai!U76="","",ABS(Telai!H76))</f>
        <v/>
      </c>
      <c r="I80" s="3">
        <f>IF(H80="",I79,Telai!Q76)</f>
        <v>22.65</v>
      </c>
      <c r="J80" s="3">
        <f t="shared" si="5"/>
        <v>20.460999999999999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21.4605</v>
      </c>
    </row>
    <row r="81" spans="4:14">
      <c r="D81" s="3" t="str">
        <f>IF(Telai!F77="","",ABS(Telai!F77))</f>
        <v/>
      </c>
      <c r="E81" s="3">
        <f>IF(D81="",E80,Telai!D77)</f>
        <v>22.65</v>
      </c>
      <c r="F81" s="3">
        <f t="shared" si="4"/>
        <v>20.499500000000001</v>
      </c>
      <c r="G81" s="3"/>
      <c r="H81" s="3" t="str">
        <f>IF(Telai!U77="","",ABS(Telai!H77))</f>
        <v/>
      </c>
      <c r="I81" s="3">
        <f>IF(H81="",I80,Telai!Q77)</f>
        <v>22.65</v>
      </c>
      <c r="J81" s="3">
        <f t="shared" si="5"/>
        <v>20.460999999999999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21.4605</v>
      </c>
    </row>
    <row r="82" spans="4:14">
      <c r="D82" s="3" t="str">
        <f>IF(Telai!F78="","",ABS(Telai!F78))</f>
        <v/>
      </c>
      <c r="E82" s="3">
        <f>IF(D82="",E81,Telai!D78)</f>
        <v>22.65</v>
      </c>
      <c r="F82" s="3">
        <f t="shared" si="4"/>
        <v>20.499500000000001</v>
      </c>
      <c r="G82" s="3"/>
      <c r="H82" s="3" t="str">
        <f>IF(Telai!U78="","",ABS(Telai!H78))</f>
        <v/>
      </c>
      <c r="I82" s="3">
        <f>IF(H82="",I81,Telai!Q78)</f>
        <v>22.65</v>
      </c>
      <c r="J82" s="3">
        <f t="shared" si="5"/>
        <v>20.460999999999999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21.4605</v>
      </c>
    </row>
    <row r="83" spans="4:14">
      <c r="D83" s="3" t="str">
        <f>IF(Telai!F79="","",ABS(Telai!F79))</f>
        <v/>
      </c>
      <c r="E83" s="3">
        <f>IF(D83="",E82,Telai!D79)</f>
        <v>22.65</v>
      </c>
      <c r="F83" s="3">
        <f t="shared" si="4"/>
        <v>20.499500000000001</v>
      </c>
      <c r="G83" s="3"/>
      <c r="H83" s="3" t="str">
        <f>IF(Telai!U79="","",ABS(Telai!H79))</f>
        <v/>
      </c>
      <c r="I83" s="3">
        <f>IF(H83="",I82,Telai!Q79)</f>
        <v>22.65</v>
      </c>
      <c r="J83" s="3">
        <f t="shared" si="5"/>
        <v>20.460999999999999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21.4605</v>
      </c>
    </row>
    <row r="84" spans="4:14">
      <c r="D84" s="3" t="str">
        <f>IF(Telai!F80="","",ABS(Telai!F80))</f>
        <v/>
      </c>
      <c r="E84" s="3">
        <f>IF(D84="",E83,Telai!D80)</f>
        <v>22.65</v>
      </c>
      <c r="F84" s="3">
        <f t="shared" si="4"/>
        <v>20.499500000000001</v>
      </c>
      <c r="G84" s="3"/>
      <c r="H84" s="3" t="str">
        <f>IF(Telai!U80="","",ABS(Telai!H80))</f>
        <v/>
      </c>
      <c r="I84" s="3">
        <f>IF(H84="",I83,Telai!Q80)</f>
        <v>22.65</v>
      </c>
      <c r="J84" s="3">
        <f t="shared" si="5"/>
        <v>20.460999999999999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21.4605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ignoredErrors>
    <ignoredError sqref="A43 B64" unlocked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85"/>
  <sheetViews>
    <sheetView workbookViewId="0">
      <selection activeCell="D40" sqref="D40"/>
    </sheetView>
  </sheetViews>
  <sheetFormatPr defaultColWidth="9" defaultRowHeight="12.75"/>
  <cols>
    <col min="1" max="16384" width="9" style="1"/>
  </cols>
  <sheetData>
    <row r="1" spans="1:11">
      <c r="A1" s="25" t="s">
        <v>115</v>
      </c>
      <c r="D1" s="6" t="s">
        <v>9</v>
      </c>
      <c r="E1" s="1">
        <f>Invil.mod.x!E1</f>
        <v>0.5</v>
      </c>
      <c r="H1" s="39" t="s">
        <v>137</v>
      </c>
      <c r="I1" s="1">
        <f>Invil.mod.x!I1</f>
        <v>3.5</v>
      </c>
      <c r="K1" s="7" t="s">
        <v>138</v>
      </c>
    </row>
    <row r="40" spans="1:14">
      <c r="A40" s="7" t="s">
        <v>111</v>
      </c>
      <c r="D40" s="6" t="str">
        <f>CONCATENATE("piano ",Telai!A4)</f>
        <v>piano 5</v>
      </c>
      <c r="E40" s="6" t="s">
        <v>101</v>
      </c>
      <c r="H40" s="6" t="str">
        <f>D40</f>
        <v>piano 5</v>
      </c>
      <c r="I40" s="6" t="s">
        <v>103</v>
      </c>
      <c r="L40" s="6" t="str">
        <f>H40</f>
        <v>piano 5</v>
      </c>
      <c r="M40" s="6" t="s">
        <v>116</v>
      </c>
    </row>
    <row r="41" spans="1:14">
      <c r="A41" s="6" t="s">
        <v>7</v>
      </c>
      <c r="B41" s="6" t="s">
        <v>8</v>
      </c>
      <c r="D41" s="6" t="s">
        <v>112</v>
      </c>
      <c r="E41" s="6" t="s">
        <v>7</v>
      </c>
      <c r="F41" s="6" t="s">
        <v>8</v>
      </c>
      <c r="H41" s="6" t="s">
        <v>112</v>
      </c>
      <c r="I41" s="6" t="s">
        <v>7</v>
      </c>
      <c r="J41" s="6" t="s">
        <v>8</v>
      </c>
      <c r="L41" s="6" t="s">
        <v>112</v>
      </c>
      <c r="M41" s="6" t="s">
        <v>7</v>
      </c>
      <c r="N41" s="6" t="s">
        <v>8</v>
      </c>
    </row>
    <row r="42" spans="1:14">
      <c r="A42" s="3">
        <f>M42</f>
        <v>29.229500000000002</v>
      </c>
      <c r="B42" s="3">
        <f>MIN(F42:F62,J42:J62,N42:N62,R42:R62,V42:V62,Z42:Z62)</f>
        <v>0.15</v>
      </c>
      <c r="D42" s="3">
        <f>IF(Telai!G33="","",ABS(Telai!G33))</f>
        <v>4.7229999999999999</v>
      </c>
      <c r="E42" s="3">
        <f t="shared" ref="E42:E62" si="0">IF(D42="",E41,$A$43+D42*$E$1)</f>
        <v>28.6615</v>
      </c>
      <c r="F42" s="3">
        <f>IF(D42="",F41,Telai!D33)</f>
        <v>0.15</v>
      </c>
      <c r="H42" s="3">
        <f>IF(Telai!I33="","",ABS(Telai!I33))</f>
        <v>1.1359999999999999</v>
      </c>
      <c r="I42" s="3">
        <f t="shared" ref="I42:I62" si="1">IF(H42="",I41,$A$43+H42*$E$1)</f>
        <v>26.868000000000002</v>
      </c>
      <c r="J42" s="3">
        <f>IF(H42="",J41,Telai!Q33)</f>
        <v>0.15</v>
      </c>
      <c r="L42" s="3">
        <f t="shared" ref="L42:L62" si="2">IF(D42="","",D42+H42)</f>
        <v>5.859</v>
      </c>
      <c r="M42" s="3">
        <f t="shared" ref="M42:M62" si="3">IF(L42="",M41,$A$43+L42*$E$1)</f>
        <v>29.229500000000002</v>
      </c>
      <c r="N42" s="3">
        <f>IF(L42="",N41,Telai!AD33)</f>
        <v>0.15</v>
      </c>
    </row>
    <row r="43" spans="1:14">
      <c r="A43" s="1">
        <f>MAX(Dati!B13:M13)+I1</f>
        <v>26.3</v>
      </c>
      <c r="B43" s="3">
        <f>B42</f>
        <v>0.15</v>
      </c>
      <c r="D43" s="3">
        <f>IF(Telai!G34="","",ABS(Telai!G34))</f>
        <v>3.1214999999999993</v>
      </c>
      <c r="E43" s="3">
        <f t="shared" si="0"/>
        <v>27.860749999999999</v>
      </c>
      <c r="F43" s="3">
        <f>IF(D43="",F42,Telai!D34)</f>
        <v>2.35</v>
      </c>
      <c r="H43" s="3">
        <f>IF(Telai!I34="","",ABS(Telai!I34))</f>
        <v>0.7004999999999999</v>
      </c>
      <c r="I43" s="3">
        <f t="shared" si="1"/>
        <v>26.65025</v>
      </c>
      <c r="J43" s="3">
        <f>IF(H43="",J42,Telai!Q34)</f>
        <v>2.35</v>
      </c>
      <c r="L43" s="3">
        <f t="shared" si="2"/>
        <v>3.8219999999999992</v>
      </c>
      <c r="M43" s="3">
        <f t="shared" si="3"/>
        <v>28.210999999999999</v>
      </c>
      <c r="N43" s="3">
        <f>IF(L43="",N42,Telai!AD34)</f>
        <v>2.35</v>
      </c>
    </row>
    <row r="44" spans="1:14">
      <c r="A44" s="1">
        <f>$A$43</f>
        <v>26.3</v>
      </c>
      <c r="B44" s="3">
        <f>B45</f>
        <v>15.85</v>
      </c>
      <c r="D44" s="3">
        <f>IF(Telai!G35="","",ABS(Telai!G35))</f>
        <v>1.52</v>
      </c>
      <c r="E44" s="3">
        <f t="shared" si="0"/>
        <v>27.060000000000002</v>
      </c>
      <c r="F44" s="3">
        <f>IF(D44="",F43,Telai!D35)</f>
        <v>4.55</v>
      </c>
      <c r="H44" s="3">
        <f>IF(Telai!I35="","",ABS(Telai!I35))</f>
        <v>0.26500000000000001</v>
      </c>
      <c r="I44" s="3">
        <f t="shared" si="1"/>
        <v>26.432500000000001</v>
      </c>
      <c r="J44" s="3">
        <f>IF(H44="",J43,Telai!Q35)</f>
        <v>4.55</v>
      </c>
      <c r="L44" s="3">
        <f t="shared" si="2"/>
        <v>1.7850000000000001</v>
      </c>
      <c r="M44" s="3">
        <f t="shared" si="3"/>
        <v>27.192500000000003</v>
      </c>
      <c r="N44" s="3">
        <f>IF(L44="",N43,Telai!AD35)</f>
        <v>4.55</v>
      </c>
    </row>
    <row r="45" spans="1:14">
      <c r="A45" s="3">
        <f>M62</f>
        <v>31.448499999999999</v>
      </c>
      <c r="B45" s="3">
        <f>MAX(F42:F62,J42:J62,N42:N62,R42:R62,V42:V62,Z42:Z62)</f>
        <v>15.85</v>
      </c>
      <c r="D45" s="3">
        <f>IF(Telai!G36="","",ABS(Telai!G36))</f>
        <v>0.59250000000000025</v>
      </c>
      <c r="E45" s="3">
        <f t="shared" si="0"/>
        <v>26.596250000000001</v>
      </c>
      <c r="F45" s="3">
        <f>IF(D45="",F44,Telai!D36)</f>
        <v>6.65</v>
      </c>
      <c r="H45" s="3">
        <f>IF(Telai!I36="","",ABS(Telai!I36))</f>
        <v>0.15100000000000002</v>
      </c>
      <c r="I45" s="3">
        <f t="shared" si="1"/>
        <v>26.375500000000002</v>
      </c>
      <c r="J45" s="3">
        <f>IF(H45="",J44,Telai!Q36)</f>
        <v>6.65</v>
      </c>
      <c r="L45" s="3">
        <f t="shared" si="2"/>
        <v>0.74350000000000027</v>
      </c>
      <c r="M45" s="3">
        <f t="shared" si="3"/>
        <v>26.671749999999999</v>
      </c>
      <c r="N45" s="3">
        <f>IF(L45="",N44,Telai!AD36)</f>
        <v>6.65</v>
      </c>
    </row>
    <row r="46" spans="1:14">
      <c r="D46" s="3">
        <f>IF(Telai!G37="","",ABS(Telai!G37))</f>
        <v>2.7050000000000001</v>
      </c>
      <c r="E46" s="3">
        <f t="shared" si="0"/>
        <v>27.6525</v>
      </c>
      <c r="F46" s="3">
        <f>IF(D46="",F45,Telai!D37)</f>
        <v>8.75</v>
      </c>
      <c r="H46" s="3">
        <f>IF(Telai!I37="","",ABS(Telai!I37))</f>
        <v>0.56699999999999995</v>
      </c>
      <c r="I46" s="3">
        <f t="shared" si="1"/>
        <v>26.583500000000001</v>
      </c>
      <c r="J46" s="3">
        <f>IF(H46="",J45,Telai!Q37)</f>
        <v>8.75</v>
      </c>
      <c r="L46" s="3">
        <f t="shared" si="2"/>
        <v>3.2720000000000002</v>
      </c>
      <c r="M46" s="3">
        <f t="shared" si="3"/>
        <v>27.936</v>
      </c>
      <c r="N46" s="3">
        <f>IF(L46="",N45,Telai!AD37)</f>
        <v>8.75</v>
      </c>
    </row>
    <row r="47" spans="1:14">
      <c r="D47" s="3">
        <f>IF(Telai!G38="","",ABS(Telai!G38))</f>
        <v>2.9928675078864346</v>
      </c>
      <c r="E47" s="3">
        <f t="shared" si="0"/>
        <v>27.796433753943219</v>
      </c>
      <c r="F47" s="3">
        <f>IF(D47="",F46,Telai!D38)</f>
        <v>9.1198738170346996</v>
      </c>
      <c r="H47" s="3">
        <f>IF(Telai!I38="","",ABS(Telai!I38))</f>
        <v>0.64012933753943202</v>
      </c>
      <c r="I47" s="3">
        <f t="shared" si="1"/>
        <v>26.620064668769718</v>
      </c>
      <c r="J47" s="3">
        <f>IF(H47="",J46,Telai!Q38)</f>
        <v>9.1198738170346996</v>
      </c>
      <c r="L47" s="3">
        <f t="shared" si="2"/>
        <v>3.6329968454258665</v>
      </c>
      <c r="M47" s="3">
        <f t="shared" si="3"/>
        <v>28.116498422712933</v>
      </c>
      <c r="N47" s="3">
        <f>IF(L47="",N46,Telai!AD38)</f>
        <v>9.1198738170346996</v>
      </c>
    </row>
    <row r="48" spans="1:14">
      <c r="D48" s="3">
        <f>IF(Telai!G39="","",ABS(Telai!G39))</f>
        <v>5.4290000000000003</v>
      </c>
      <c r="E48" s="3">
        <f t="shared" si="0"/>
        <v>29.014500000000002</v>
      </c>
      <c r="F48" s="3">
        <f>IF(D48="",F47,Telai!D39)</f>
        <v>12.25</v>
      </c>
      <c r="H48" s="3">
        <f>IF(Telai!I39="","",ABS(Telai!I39))</f>
        <v>1.2589999999999999</v>
      </c>
      <c r="I48" s="3">
        <f t="shared" si="1"/>
        <v>26.929500000000001</v>
      </c>
      <c r="J48" s="3">
        <f>IF(H48="",J47,Telai!Q39)</f>
        <v>12.25</v>
      </c>
      <c r="L48" s="3">
        <f t="shared" si="2"/>
        <v>6.6880000000000006</v>
      </c>
      <c r="M48" s="3">
        <f t="shared" si="3"/>
        <v>29.644000000000002</v>
      </c>
      <c r="N48" s="3">
        <f>IF(L48="",N47,Telai!AD39)</f>
        <v>12.25</v>
      </c>
    </row>
    <row r="49" spans="1:14">
      <c r="D49" s="3">
        <f>IF(Telai!G40="","",ABS(Telai!G40))</f>
        <v>6.8770000000000007</v>
      </c>
      <c r="E49" s="3">
        <f t="shared" si="0"/>
        <v>29.738500000000002</v>
      </c>
      <c r="F49" s="3">
        <f>IF(D49="",F48,Telai!D40)</f>
        <v>14.05</v>
      </c>
      <c r="H49" s="3">
        <f>IF(Telai!I40="","",ABS(Telai!I40))</f>
        <v>1.6155000000000002</v>
      </c>
      <c r="I49" s="3">
        <f t="shared" si="1"/>
        <v>27.107749999999999</v>
      </c>
      <c r="J49" s="3">
        <f>IF(H49="",J48,Telai!Q40)</f>
        <v>14.05</v>
      </c>
      <c r="L49" s="3">
        <f t="shared" si="2"/>
        <v>8.4925000000000015</v>
      </c>
      <c r="M49" s="3">
        <f t="shared" si="3"/>
        <v>30.546250000000001</v>
      </c>
      <c r="N49" s="3">
        <f>IF(L49="",N48,Telai!AD40)</f>
        <v>14.05</v>
      </c>
    </row>
    <row r="50" spans="1:14">
      <c r="D50" s="3">
        <f>IF(Telai!G41="","",ABS(Telai!G41))</f>
        <v>8.3249999999999993</v>
      </c>
      <c r="E50" s="3">
        <f t="shared" si="0"/>
        <v>30.462499999999999</v>
      </c>
      <c r="F50" s="3">
        <f>IF(D50="",F49,Telai!D41)</f>
        <v>15.85</v>
      </c>
      <c r="H50" s="3">
        <f>IF(Telai!I41="","",ABS(Telai!I41))</f>
        <v>1.972</v>
      </c>
      <c r="I50" s="3">
        <f t="shared" si="1"/>
        <v>27.286000000000001</v>
      </c>
      <c r="J50" s="3">
        <f>IF(H50="",J49,Telai!Q41)</f>
        <v>15.85</v>
      </c>
      <c r="L50" s="3">
        <f t="shared" si="2"/>
        <v>10.296999999999999</v>
      </c>
      <c r="M50" s="3">
        <f t="shared" si="3"/>
        <v>31.448499999999999</v>
      </c>
      <c r="N50" s="3">
        <f>IF(L50="",N49,Telai!AD41)</f>
        <v>15.85</v>
      </c>
    </row>
    <row r="51" spans="1:14">
      <c r="D51" s="3" t="str">
        <f>IF(Telai!G42="","",ABS(Telai!G42))</f>
        <v/>
      </c>
      <c r="E51" s="3">
        <f t="shared" si="0"/>
        <v>30.462499999999999</v>
      </c>
      <c r="F51" s="3">
        <f>IF(D51="",F50,Telai!D42)</f>
        <v>15.85</v>
      </c>
      <c r="H51" s="3" t="str">
        <f>IF(Telai!I42="","",ABS(Telai!I42))</f>
        <v/>
      </c>
      <c r="I51" s="3">
        <f t="shared" si="1"/>
        <v>27.286000000000001</v>
      </c>
      <c r="J51" s="3">
        <f>IF(H51="",J50,Telai!Q42)</f>
        <v>15.85</v>
      </c>
      <c r="L51" s="3" t="str">
        <f t="shared" si="2"/>
        <v/>
      </c>
      <c r="M51" s="3">
        <f t="shared" si="3"/>
        <v>31.448499999999999</v>
      </c>
      <c r="N51" s="3">
        <f>IF(L51="",N50,Telai!AD42)</f>
        <v>15.85</v>
      </c>
    </row>
    <row r="52" spans="1:14">
      <c r="D52" s="3" t="str">
        <f>IF(Telai!G43="","",ABS(Telai!G43))</f>
        <v/>
      </c>
      <c r="E52" s="3">
        <f t="shared" si="0"/>
        <v>30.462499999999999</v>
      </c>
      <c r="F52" s="3">
        <f>IF(D52="",F51,Telai!D43)</f>
        <v>15.85</v>
      </c>
      <c r="H52" s="3" t="str">
        <f>IF(Telai!I43="","",ABS(Telai!I43))</f>
        <v/>
      </c>
      <c r="I52" s="3">
        <f t="shared" si="1"/>
        <v>27.286000000000001</v>
      </c>
      <c r="J52" s="3">
        <f>IF(H52="",J51,Telai!Q43)</f>
        <v>15.85</v>
      </c>
      <c r="L52" s="3" t="str">
        <f t="shared" si="2"/>
        <v/>
      </c>
      <c r="M52" s="3">
        <f t="shared" si="3"/>
        <v>31.448499999999999</v>
      </c>
      <c r="N52" s="3">
        <f>IF(L52="",N51,Telai!AD43)</f>
        <v>15.85</v>
      </c>
    </row>
    <row r="53" spans="1:14">
      <c r="D53" s="3" t="str">
        <f>IF(Telai!G44="","",ABS(Telai!G44))</f>
        <v/>
      </c>
      <c r="E53" s="3">
        <f t="shared" si="0"/>
        <v>30.462499999999999</v>
      </c>
      <c r="F53" s="3">
        <f>IF(D53="",F52,Telai!D44)</f>
        <v>15.85</v>
      </c>
      <c r="H53" s="3" t="str">
        <f>IF(Telai!I44="","",ABS(Telai!I44))</f>
        <v/>
      </c>
      <c r="I53" s="3">
        <f t="shared" si="1"/>
        <v>27.286000000000001</v>
      </c>
      <c r="J53" s="3">
        <f>IF(H53="",J52,Telai!Q44)</f>
        <v>15.85</v>
      </c>
      <c r="L53" s="3" t="str">
        <f t="shared" si="2"/>
        <v/>
      </c>
      <c r="M53" s="3">
        <f t="shared" si="3"/>
        <v>31.448499999999999</v>
      </c>
      <c r="N53" s="3">
        <f>IF(L53="",N52,Telai!AD44)</f>
        <v>15.85</v>
      </c>
    </row>
    <row r="54" spans="1:14">
      <c r="D54" s="3" t="str">
        <f>IF(Telai!G45="","",ABS(Telai!G45))</f>
        <v/>
      </c>
      <c r="E54" s="3">
        <f t="shared" si="0"/>
        <v>30.462499999999999</v>
      </c>
      <c r="F54" s="3">
        <f>IF(D54="",F53,Telai!D45)</f>
        <v>15.85</v>
      </c>
      <c r="H54" s="3" t="str">
        <f>IF(Telai!I45="","",ABS(Telai!I45))</f>
        <v/>
      </c>
      <c r="I54" s="3">
        <f t="shared" si="1"/>
        <v>27.286000000000001</v>
      </c>
      <c r="J54" s="3">
        <f>IF(H54="",J53,Telai!Q45)</f>
        <v>15.85</v>
      </c>
      <c r="L54" s="3" t="str">
        <f t="shared" si="2"/>
        <v/>
      </c>
      <c r="M54" s="3">
        <f t="shared" si="3"/>
        <v>31.448499999999999</v>
      </c>
      <c r="N54" s="3">
        <f>IF(L54="",N53,Telai!AD45)</f>
        <v>15.85</v>
      </c>
    </row>
    <row r="55" spans="1:14">
      <c r="D55" s="3" t="str">
        <f>IF(Telai!G46="","",ABS(Telai!G46))</f>
        <v/>
      </c>
      <c r="E55" s="3">
        <f t="shared" si="0"/>
        <v>30.462499999999999</v>
      </c>
      <c r="F55" s="3">
        <f>IF(D55="",F54,Telai!D46)</f>
        <v>15.85</v>
      </c>
      <c r="H55" s="3" t="str">
        <f>IF(Telai!I46="","",ABS(Telai!I46))</f>
        <v/>
      </c>
      <c r="I55" s="3">
        <f t="shared" si="1"/>
        <v>27.286000000000001</v>
      </c>
      <c r="J55" s="3">
        <f>IF(H55="",J54,Telai!Q46)</f>
        <v>15.85</v>
      </c>
      <c r="L55" s="3" t="str">
        <f t="shared" si="2"/>
        <v/>
      </c>
      <c r="M55" s="3">
        <f t="shared" si="3"/>
        <v>31.448499999999999</v>
      </c>
      <c r="N55" s="3">
        <f>IF(L55="",N54,Telai!AD46)</f>
        <v>15.85</v>
      </c>
    </row>
    <row r="56" spans="1:14">
      <c r="D56" s="3" t="str">
        <f>IF(Telai!G47="","",ABS(Telai!G47))</f>
        <v/>
      </c>
      <c r="E56" s="3">
        <f t="shared" si="0"/>
        <v>30.462499999999999</v>
      </c>
      <c r="F56" s="3">
        <f>IF(D56="",F55,Telai!D47)</f>
        <v>15.85</v>
      </c>
      <c r="H56" s="3" t="str">
        <f>IF(Telai!I47="","",ABS(Telai!I47))</f>
        <v/>
      </c>
      <c r="I56" s="3">
        <f t="shared" si="1"/>
        <v>27.286000000000001</v>
      </c>
      <c r="J56" s="3">
        <f>IF(H56="",J55,Telai!Q47)</f>
        <v>15.85</v>
      </c>
      <c r="L56" s="3" t="str">
        <f t="shared" si="2"/>
        <v/>
      </c>
      <c r="M56" s="3">
        <f t="shared" si="3"/>
        <v>31.448499999999999</v>
      </c>
      <c r="N56" s="3">
        <f>IF(L56="",N55,Telai!AD47)</f>
        <v>15.85</v>
      </c>
    </row>
    <row r="57" spans="1:14">
      <c r="D57" s="3" t="str">
        <f>IF(Telai!G48="","",ABS(Telai!G48))</f>
        <v/>
      </c>
      <c r="E57" s="3">
        <f t="shared" si="0"/>
        <v>30.462499999999999</v>
      </c>
      <c r="F57" s="3">
        <f>IF(D57="",F56,Telai!D48)</f>
        <v>15.85</v>
      </c>
      <c r="H57" s="3" t="str">
        <f>IF(Telai!I48="","",ABS(Telai!I48))</f>
        <v/>
      </c>
      <c r="I57" s="3">
        <f t="shared" si="1"/>
        <v>27.286000000000001</v>
      </c>
      <c r="J57" s="3">
        <f>IF(H57="",J56,Telai!Q48)</f>
        <v>15.85</v>
      </c>
      <c r="L57" s="3" t="str">
        <f t="shared" si="2"/>
        <v/>
      </c>
      <c r="M57" s="3">
        <f t="shared" si="3"/>
        <v>31.448499999999999</v>
      </c>
      <c r="N57" s="3">
        <f>IF(L57="",N56,Telai!AD48)</f>
        <v>15.85</v>
      </c>
    </row>
    <row r="58" spans="1:14">
      <c r="D58" s="3" t="str">
        <f>IF(Telai!G49="","",ABS(Telai!G49))</f>
        <v/>
      </c>
      <c r="E58" s="3">
        <f t="shared" si="0"/>
        <v>30.462499999999999</v>
      </c>
      <c r="F58" s="3">
        <f>IF(D58="",F57,Telai!D49)</f>
        <v>15.85</v>
      </c>
      <c r="H58" s="3" t="str">
        <f>IF(Telai!I49="","",ABS(Telai!I49))</f>
        <v/>
      </c>
      <c r="I58" s="3">
        <f t="shared" si="1"/>
        <v>27.286000000000001</v>
      </c>
      <c r="J58" s="3">
        <f>IF(H58="",J57,Telai!Q49)</f>
        <v>15.85</v>
      </c>
      <c r="L58" s="3" t="str">
        <f t="shared" si="2"/>
        <v/>
      </c>
      <c r="M58" s="3">
        <f t="shared" si="3"/>
        <v>31.448499999999999</v>
      </c>
      <c r="N58" s="3">
        <f>IF(L58="",N57,Telai!AD49)</f>
        <v>15.85</v>
      </c>
    </row>
    <row r="59" spans="1:14">
      <c r="D59" s="3" t="str">
        <f>IF(Telai!G50="","",ABS(Telai!G50))</f>
        <v/>
      </c>
      <c r="E59" s="3">
        <f t="shared" si="0"/>
        <v>30.462499999999999</v>
      </c>
      <c r="F59" s="3">
        <f>IF(D59="",F58,Telai!D50)</f>
        <v>15.85</v>
      </c>
      <c r="H59" s="3" t="str">
        <f>IF(Telai!I50="","",ABS(Telai!I50))</f>
        <v/>
      </c>
      <c r="I59" s="3">
        <f t="shared" si="1"/>
        <v>27.286000000000001</v>
      </c>
      <c r="J59" s="3">
        <f>IF(H59="",J58,Telai!Q50)</f>
        <v>15.85</v>
      </c>
      <c r="L59" s="3" t="str">
        <f t="shared" si="2"/>
        <v/>
      </c>
      <c r="M59" s="3">
        <f t="shared" si="3"/>
        <v>31.448499999999999</v>
      </c>
      <c r="N59" s="3">
        <f>IF(L59="",N58,Telai!AD50)</f>
        <v>15.85</v>
      </c>
    </row>
    <row r="60" spans="1:14">
      <c r="D60" s="3" t="str">
        <f>IF(Telai!G51="","",ABS(Telai!G51))</f>
        <v/>
      </c>
      <c r="E60" s="3">
        <f t="shared" si="0"/>
        <v>30.462499999999999</v>
      </c>
      <c r="F60" s="3">
        <f>IF(D60="",F59,Telai!D51)</f>
        <v>15.85</v>
      </c>
      <c r="H60" s="3" t="str">
        <f>IF(Telai!I51="","",ABS(Telai!I51))</f>
        <v/>
      </c>
      <c r="I60" s="3">
        <f t="shared" si="1"/>
        <v>27.286000000000001</v>
      </c>
      <c r="J60" s="3">
        <f>IF(H60="",J59,Telai!Q51)</f>
        <v>15.85</v>
      </c>
      <c r="L60" s="3" t="str">
        <f t="shared" si="2"/>
        <v/>
      </c>
      <c r="M60" s="3">
        <f t="shared" si="3"/>
        <v>31.448499999999999</v>
      </c>
      <c r="N60" s="3">
        <f>IF(L60="",N59,Telai!AD51)</f>
        <v>15.85</v>
      </c>
    </row>
    <row r="61" spans="1:14">
      <c r="A61" s="7" t="s">
        <v>113</v>
      </c>
      <c r="D61" s="3" t="str">
        <f>IF(Telai!G52="","",ABS(Telai!G52))</f>
        <v/>
      </c>
      <c r="E61" s="3">
        <f t="shared" si="0"/>
        <v>30.462499999999999</v>
      </c>
      <c r="F61" s="3">
        <f>IF(D61="",F60,Telai!D52)</f>
        <v>15.85</v>
      </c>
      <c r="H61" s="3" t="str">
        <f>IF(Telai!I52="","",ABS(Telai!I52))</f>
        <v/>
      </c>
      <c r="I61" s="3">
        <f t="shared" si="1"/>
        <v>27.286000000000001</v>
      </c>
      <c r="J61" s="3">
        <f>IF(H61="",J60,Telai!Q52)</f>
        <v>15.85</v>
      </c>
      <c r="L61" s="3" t="str">
        <f t="shared" si="2"/>
        <v/>
      </c>
      <c r="M61" s="3">
        <f t="shared" si="3"/>
        <v>31.448499999999999</v>
      </c>
      <c r="N61" s="3">
        <f>IF(L61="",N60,Telai!AD52)</f>
        <v>15.85</v>
      </c>
    </row>
    <row r="62" spans="1:14">
      <c r="A62" s="6" t="s">
        <v>7</v>
      </c>
      <c r="B62" s="6" t="s">
        <v>8</v>
      </c>
      <c r="D62" s="3" t="str">
        <f>IF(Telai!G53="","",ABS(Telai!G53))</f>
        <v/>
      </c>
      <c r="E62" s="3">
        <f t="shared" si="0"/>
        <v>30.462499999999999</v>
      </c>
      <c r="F62" s="3">
        <f>IF(D62="",F61,Telai!D53)</f>
        <v>15.85</v>
      </c>
      <c r="H62" s="3" t="str">
        <f>IF(Telai!I53="","",ABS(Telai!I53))</f>
        <v/>
      </c>
      <c r="I62" s="3">
        <f t="shared" si="1"/>
        <v>27.286000000000001</v>
      </c>
      <c r="J62" s="3">
        <f>IF(H62="",J61,Telai!Q53)</f>
        <v>15.85</v>
      </c>
      <c r="L62" s="3" t="str">
        <f t="shared" si="2"/>
        <v/>
      </c>
      <c r="M62" s="3">
        <f t="shared" si="3"/>
        <v>31.448499999999999</v>
      </c>
      <c r="N62" s="3">
        <f>IF(L62="",N61,Telai!AD53)</f>
        <v>15.85</v>
      </c>
    </row>
    <row r="63" spans="1:14">
      <c r="A63" s="3">
        <f>MIN(E64:E84,I64:I84,M64:M84,Q64:Q84,U64:U84,Y64:Y84)</f>
        <v>0.15</v>
      </c>
      <c r="B63" s="3">
        <f>N64</f>
        <v>24.495999999999999</v>
      </c>
      <c r="D63" s="48" t="s">
        <v>114</v>
      </c>
      <c r="E63" s="48" t="s">
        <v>7</v>
      </c>
      <c r="F63" s="48" t="s">
        <v>8</v>
      </c>
      <c r="H63" s="48" t="s">
        <v>114</v>
      </c>
      <c r="I63" s="48" t="s">
        <v>7</v>
      </c>
      <c r="J63" s="48" t="s">
        <v>8</v>
      </c>
      <c r="L63" s="48" t="s">
        <v>114</v>
      </c>
      <c r="M63" s="48" t="s">
        <v>7</v>
      </c>
      <c r="N63" s="48" t="s">
        <v>8</v>
      </c>
    </row>
    <row r="64" spans="1:14">
      <c r="A64" s="3">
        <f>A63</f>
        <v>0.15</v>
      </c>
      <c r="B64" s="1">
        <f>MAX(Dati!B14:M14)+I1</f>
        <v>19.5</v>
      </c>
      <c r="D64" s="3">
        <f>IF(Telai!G60="","",ABS(Telai!G60))</f>
        <v>8.3659999999999997</v>
      </c>
      <c r="E64" s="3">
        <f>IF(D64="",E63,Telai!D60)</f>
        <v>0.15</v>
      </c>
      <c r="F64" s="3">
        <f t="shared" ref="F64:F84" si="4">IF(D64="",F63,$B$64+D64*$E$1)</f>
        <v>23.683</v>
      </c>
      <c r="G64" s="3"/>
      <c r="H64" s="3">
        <f>IF(Telai!I60="","",ABS(Telai!I60))</f>
        <v>1.6259999999999999</v>
      </c>
      <c r="I64" s="3">
        <f>IF(H64="",I63,Telai!Q60)</f>
        <v>0.15</v>
      </c>
      <c r="J64" s="3">
        <f t="shared" ref="J64:J84" si="5">IF(H64="",J63,$B$64+H64*$E$1)</f>
        <v>20.312999999999999</v>
      </c>
      <c r="K64" s="3"/>
      <c r="L64" s="3">
        <f t="shared" ref="L64:L84" si="6">IF(D64="","",D64+H64)</f>
        <v>9.9919999999999991</v>
      </c>
      <c r="M64" s="3">
        <f>IF(L64="",M63,Telai!AD60)</f>
        <v>0.15</v>
      </c>
      <c r="N64" s="3">
        <f t="shared" ref="N64:N84" si="7">IF(L64="",N63,$B$64+L64*$E$1)</f>
        <v>24.495999999999999</v>
      </c>
    </row>
    <row r="65" spans="1:14">
      <c r="A65" s="3">
        <f>A66</f>
        <v>22.65</v>
      </c>
      <c r="B65" s="1">
        <f>B64</f>
        <v>19.5</v>
      </c>
      <c r="D65" s="3">
        <f>IF(Telai!G61="","",ABS(Telai!G61))</f>
        <v>8.4429999999999996</v>
      </c>
      <c r="E65" s="3">
        <f>IF(D65="",E64,Telai!D61)</f>
        <v>2.5</v>
      </c>
      <c r="F65" s="3">
        <f t="shared" si="4"/>
        <v>23.721499999999999</v>
      </c>
      <c r="G65" s="3"/>
      <c r="H65" s="3">
        <f>IF(Telai!I61="","",ABS(Telai!I61))</f>
        <v>1.1604999999999999</v>
      </c>
      <c r="I65" s="3">
        <f>IF(H65="",I64,Telai!Q61)</f>
        <v>2.5</v>
      </c>
      <c r="J65" s="3">
        <f t="shared" si="5"/>
        <v>20.080249999999999</v>
      </c>
      <c r="K65" s="3"/>
      <c r="L65" s="3">
        <f t="shared" si="6"/>
        <v>9.6035000000000004</v>
      </c>
      <c r="M65" s="3">
        <f>IF(L65="",M64,Telai!AD61)</f>
        <v>2.5</v>
      </c>
      <c r="N65" s="3">
        <f t="shared" si="7"/>
        <v>24.301749999999998</v>
      </c>
    </row>
    <row r="66" spans="1:14">
      <c r="A66" s="3">
        <f>MAX(E64:E84,I64:I84,M64:M84,Q64:Q84,U64:U84,Y64:Y84)</f>
        <v>22.65</v>
      </c>
      <c r="B66" s="3">
        <f>N84</f>
        <v>30.263500000000001</v>
      </c>
      <c r="D66" s="3">
        <f>IF(Telai!G62="","",ABS(Telai!G62))</f>
        <v>8.52</v>
      </c>
      <c r="E66" s="3">
        <f>IF(D66="",E65,Telai!D62)</f>
        <v>4.8499999999999996</v>
      </c>
      <c r="F66" s="3">
        <f t="shared" si="4"/>
        <v>23.759999999999998</v>
      </c>
      <c r="G66" s="3"/>
      <c r="H66" s="3">
        <f>IF(Telai!I62="","",ABS(Telai!I62))</f>
        <v>0.69499999999999995</v>
      </c>
      <c r="I66" s="3">
        <f>IF(H66="",I65,Telai!Q62)</f>
        <v>4.8499999999999996</v>
      </c>
      <c r="J66" s="3">
        <f t="shared" si="5"/>
        <v>19.8475</v>
      </c>
      <c r="K66" s="3"/>
      <c r="L66" s="3">
        <f t="shared" si="6"/>
        <v>9.2149999999999999</v>
      </c>
      <c r="M66" s="3">
        <f>IF(L66="",M65,Telai!AD62)</f>
        <v>4.8499999999999996</v>
      </c>
      <c r="N66" s="3">
        <f t="shared" si="7"/>
        <v>24.107500000000002</v>
      </c>
    </row>
    <row r="67" spans="1:14">
      <c r="D67" s="3">
        <f>IF(Telai!G63="","",ABS(Telai!G63))</f>
        <v>9.1654999999999998</v>
      </c>
      <c r="E67" s="3">
        <f>IF(D67="",E66,Telai!D63)</f>
        <v>6.75</v>
      </c>
      <c r="F67" s="3">
        <f t="shared" si="4"/>
        <v>24.082750000000001</v>
      </c>
      <c r="G67" s="3"/>
      <c r="H67" s="3">
        <f>IF(Telai!I63="","",ABS(Telai!I63))</f>
        <v>0.31899999999999995</v>
      </c>
      <c r="I67" s="3">
        <f>IF(H67="",I66,Telai!Q63)</f>
        <v>6.75</v>
      </c>
      <c r="J67" s="3">
        <f t="shared" si="5"/>
        <v>19.659500000000001</v>
      </c>
      <c r="K67" s="3"/>
      <c r="L67" s="3">
        <f t="shared" si="6"/>
        <v>9.4845000000000006</v>
      </c>
      <c r="M67" s="3">
        <f>IF(L67="",M66,Telai!AD63)</f>
        <v>6.75</v>
      </c>
      <c r="N67" s="3">
        <f t="shared" si="7"/>
        <v>24.242249999999999</v>
      </c>
    </row>
    <row r="68" spans="1:14">
      <c r="D68" s="3">
        <f>IF(Telai!G64="","",ABS(Telai!G64))</f>
        <v>9.8109999999999999</v>
      </c>
      <c r="E68" s="3">
        <f>IF(D68="",E67,Telai!D64)</f>
        <v>8.65</v>
      </c>
      <c r="F68" s="3">
        <f t="shared" si="4"/>
        <v>24.4055</v>
      </c>
      <c r="G68" s="3"/>
      <c r="H68" s="3">
        <f>IF(Telai!I64="","",ABS(Telai!I64))</f>
        <v>5.7000000000000002E-2</v>
      </c>
      <c r="I68" s="3">
        <f>IF(H68="",I67,Telai!Q64)</f>
        <v>8.65</v>
      </c>
      <c r="J68" s="3">
        <f t="shared" si="5"/>
        <v>19.528500000000001</v>
      </c>
      <c r="K68" s="3"/>
      <c r="L68" s="3">
        <f t="shared" si="6"/>
        <v>9.8680000000000003</v>
      </c>
      <c r="M68" s="3">
        <f>IF(L68="",M67,Telai!AD64)</f>
        <v>8.65</v>
      </c>
      <c r="N68" s="3">
        <f t="shared" si="7"/>
        <v>24.434000000000001</v>
      </c>
    </row>
    <row r="69" spans="1:14">
      <c r="D69" s="3">
        <f>IF(Telai!G65="","",ABS(Telai!G65))</f>
        <v>10.574</v>
      </c>
      <c r="E69" s="3">
        <f>IF(D69="",E68,Telai!D65)</f>
        <v>10.15</v>
      </c>
      <c r="F69" s="3">
        <f t="shared" si="4"/>
        <v>24.786999999999999</v>
      </c>
      <c r="G69" s="3"/>
      <c r="H69" s="3">
        <f>IF(Telai!I65="","",ABS(Telai!I65))</f>
        <v>0.35349999999999998</v>
      </c>
      <c r="I69" s="3">
        <f>IF(H69="",I68,Telai!Q65)</f>
        <v>10.15</v>
      </c>
      <c r="J69" s="3">
        <f t="shared" si="5"/>
        <v>19.676749999999998</v>
      </c>
      <c r="K69" s="3"/>
      <c r="L69" s="3">
        <f t="shared" si="6"/>
        <v>10.9275</v>
      </c>
      <c r="M69" s="3">
        <f>IF(L69="",M68,Telai!AD65)</f>
        <v>10.15</v>
      </c>
      <c r="N69" s="3">
        <f t="shared" si="7"/>
        <v>24.963750000000001</v>
      </c>
    </row>
    <row r="70" spans="1:14">
      <c r="D70" s="3">
        <f>IF(Telai!G66="","",ABS(Telai!G66))</f>
        <v>11.337</v>
      </c>
      <c r="E70" s="3">
        <f>IF(D70="",E69,Telai!D66)</f>
        <v>11.65</v>
      </c>
      <c r="F70" s="3">
        <f t="shared" si="4"/>
        <v>25.168500000000002</v>
      </c>
      <c r="G70" s="3"/>
      <c r="H70" s="3">
        <f>IF(Telai!I66="","",ABS(Telai!I66))</f>
        <v>0.65</v>
      </c>
      <c r="I70" s="3">
        <f>IF(H70="",I69,Telai!Q66)</f>
        <v>11.65</v>
      </c>
      <c r="J70" s="3">
        <f t="shared" si="5"/>
        <v>19.824999999999999</v>
      </c>
      <c r="K70" s="3"/>
      <c r="L70" s="3">
        <f t="shared" si="6"/>
        <v>11.987</v>
      </c>
      <c r="M70" s="3">
        <f>IF(L70="",M69,Telai!AD66)</f>
        <v>11.65</v>
      </c>
      <c r="N70" s="3">
        <f t="shared" si="7"/>
        <v>25.493500000000001</v>
      </c>
    </row>
    <row r="71" spans="1:14">
      <c r="D71" s="3">
        <f>IF(Telai!G67="","",ABS(Telai!G67))</f>
        <v>12.305499999999999</v>
      </c>
      <c r="E71" s="3">
        <f>IF(D71="",E70,Telai!D67)</f>
        <v>13.25</v>
      </c>
      <c r="F71" s="3">
        <f t="shared" si="4"/>
        <v>25.652749999999997</v>
      </c>
      <c r="G71" s="3"/>
      <c r="H71" s="3">
        <f>IF(Telai!I67="","",ABS(Telai!I67))</f>
        <v>0.96700000000000008</v>
      </c>
      <c r="I71" s="3">
        <f>IF(H71="",I70,Telai!Q67)</f>
        <v>13.25</v>
      </c>
      <c r="J71" s="3">
        <f t="shared" si="5"/>
        <v>19.983499999999999</v>
      </c>
      <c r="K71" s="3"/>
      <c r="L71" s="3">
        <f t="shared" si="6"/>
        <v>13.272499999999999</v>
      </c>
      <c r="M71" s="3">
        <f>IF(L71="",M70,Telai!AD67)</f>
        <v>13.25</v>
      </c>
      <c r="N71" s="3">
        <f t="shared" si="7"/>
        <v>26.13625</v>
      </c>
    </row>
    <row r="72" spans="1:14">
      <c r="D72" s="3">
        <f>IF(Telai!G68="","",ABS(Telai!G68))</f>
        <v>13.273999999999999</v>
      </c>
      <c r="E72" s="3">
        <f>IF(D72="",E71,Telai!D68)</f>
        <v>14.85</v>
      </c>
      <c r="F72" s="3">
        <f t="shared" si="4"/>
        <v>26.137</v>
      </c>
      <c r="G72" s="3"/>
      <c r="H72" s="3">
        <f>IF(Telai!I68="","",ABS(Telai!I68))</f>
        <v>1.284</v>
      </c>
      <c r="I72" s="3">
        <f>IF(H72="",I71,Telai!Q68)</f>
        <v>14.85</v>
      </c>
      <c r="J72" s="3">
        <f t="shared" si="5"/>
        <v>20.141999999999999</v>
      </c>
      <c r="K72" s="3"/>
      <c r="L72" s="3">
        <f t="shared" si="6"/>
        <v>14.558</v>
      </c>
      <c r="M72" s="3">
        <f>IF(L72="",M71,Telai!AD68)</f>
        <v>14.85</v>
      </c>
      <c r="N72" s="3">
        <f t="shared" si="7"/>
        <v>26.779</v>
      </c>
    </row>
    <row r="73" spans="1:14">
      <c r="D73" s="3">
        <f>IF(Telai!G69="","",ABS(Telai!G69))</f>
        <v>14.6915</v>
      </c>
      <c r="E73" s="3">
        <f>IF(D73="",E72,Telai!D69)</f>
        <v>16.95</v>
      </c>
      <c r="F73" s="3">
        <f t="shared" si="4"/>
        <v>26.845749999999999</v>
      </c>
      <c r="G73" s="3"/>
      <c r="H73" s="3">
        <f>IF(Telai!I69="","",ABS(Telai!I69))</f>
        <v>1.6995</v>
      </c>
      <c r="I73" s="3">
        <f>IF(H73="",I72,Telai!Q69)</f>
        <v>16.95</v>
      </c>
      <c r="J73" s="3">
        <f t="shared" si="5"/>
        <v>20.34975</v>
      </c>
      <c r="K73" s="3"/>
      <c r="L73" s="3">
        <f t="shared" si="6"/>
        <v>16.390999999999998</v>
      </c>
      <c r="M73" s="3">
        <f>IF(L73="",M72,Telai!AD69)</f>
        <v>16.95</v>
      </c>
      <c r="N73" s="3">
        <f t="shared" si="7"/>
        <v>27.695499999999999</v>
      </c>
    </row>
    <row r="74" spans="1:14">
      <c r="D74" s="3">
        <f>IF(Telai!G70="","",ABS(Telai!G70))</f>
        <v>16.109000000000002</v>
      </c>
      <c r="E74" s="3">
        <f>IF(D74="",E73,Telai!D70)</f>
        <v>19.05</v>
      </c>
      <c r="F74" s="3">
        <f t="shared" si="4"/>
        <v>27.554500000000001</v>
      </c>
      <c r="G74" s="3"/>
      <c r="H74" s="3">
        <f>IF(Telai!I70="","",ABS(Telai!I70))</f>
        <v>2.1150000000000002</v>
      </c>
      <c r="I74" s="3">
        <f>IF(H74="",I73,Telai!Q70)</f>
        <v>19.05</v>
      </c>
      <c r="J74" s="3">
        <f t="shared" si="5"/>
        <v>20.557500000000001</v>
      </c>
      <c r="K74" s="3"/>
      <c r="L74" s="3">
        <f t="shared" si="6"/>
        <v>18.224000000000004</v>
      </c>
      <c r="M74" s="3">
        <f>IF(L74="",M73,Telai!AD70)</f>
        <v>19.05</v>
      </c>
      <c r="N74" s="3">
        <f t="shared" si="7"/>
        <v>28.612000000000002</v>
      </c>
    </row>
    <row r="75" spans="1:14">
      <c r="D75" s="3">
        <f>IF(Telai!G71="","",ABS(Telai!G71))</f>
        <v>17.404000000000003</v>
      </c>
      <c r="E75" s="3">
        <f>IF(D75="",E74,Telai!D71)</f>
        <v>20.85</v>
      </c>
      <c r="F75" s="3">
        <f t="shared" si="4"/>
        <v>28.202000000000002</v>
      </c>
      <c r="G75" s="3"/>
      <c r="H75" s="3">
        <f>IF(Telai!I71="","",ABS(Telai!I71))</f>
        <v>2.4715000000000003</v>
      </c>
      <c r="I75" s="3">
        <f>IF(H75="",I74,Telai!Q71)</f>
        <v>20.85</v>
      </c>
      <c r="J75" s="3">
        <f t="shared" si="5"/>
        <v>20.735749999999999</v>
      </c>
      <c r="K75" s="3"/>
      <c r="L75" s="3">
        <f t="shared" si="6"/>
        <v>19.875500000000002</v>
      </c>
      <c r="M75" s="3">
        <f>IF(L75="",M74,Telai!AD71)</f>
        <v>20.85</v>
      </c>
      <c r="N75" s="3">
        <f t="shared" si="7"/>
        <v>29.437750000000001</v>
      </c>
    </row>
    <row r="76" spans="1:14">
      <c r="D76" s="3">
        <f>IF(Telai!G72="","",ABS(Telai!G72))</f>
        <v>18.699000000000002</v>
      </c>
      <c r="E76" s="3">
        <f>IF(D76="",E75,Telai!D72)</f>
        <v>22.65</v>
      </c>
      <c r="F76" s="3">
        <f t="shared" si="4"/>
        <v>28.849499999999999</v>
      </c>
      <c r="G76" s="3"/>
      <c r="H76" s="3">
        <f>IF(Telai!I72="","",ABS(Telai!I72))</f>
        <v>2.8279999999999998</v>
      </c>
      <c r="I76" s="3">
        <f>IF(H76="",I75,Telai!Q72)</f>
        <v>22.65</v>
      </c>
      <c r="J76" s="3">
        <f t="shared" si="5"/>
        <v>20.914000000000001</v>
      </c>
      <c r="K76" s="3"/>
      <c r="L76" s="3">
        <f t="shared" si="6"/>
        <v>21.527000000000001</v>
      </c>
      <c r="M76" s="3">
        <f>IF(L76="",M75,Telai!AD72)</f>
        <v>22.65</v>
      </c>
      <c r="N76" s="3">
        <f t="shared" si="7"/>
        <v>30.263500000000001</v>
      </c>
    </row>
    <row r="77" spans="1:14">
      <c r="D77" s="3" t="str">
        <f>IF(Telai!G73="","",ABS(Telai!G73))</f>
        <v/>
      </c>
      <c r="E77" s="3">
        <f>IF(D77="",E76,Telai!D73)</f>
        <v>22.65</v>
      </c>
      <c r="F77" s="3">
        <f t="shared" si="4"/>
        <v>28.849499999999999</v>
      </c>
      <c r="G77" s="3"/>
      <c r="H77" s="3" t="str">
        <f>IF(Telai!I73="","",ABS(Telai!I73))</f>
        <v/>
      </c>
      <c r="I77" s="3">
        <f>IF(H77="",I76,Telai!Q73)</f>
        <v>22.65</v>
      </c>
      <c r="J77" s="3">
        <f t="shared" si="5"/>
        <v>20.914000000000001</v>
      </c>
      <c r="K77" s="3"/>
      <c r="L77" s="3" t="str">
        <f t="shared" si="6"/>
        <v/>
      </c>
      <c r="M77" s="3">
        <f>IF(L77="",M76,Telai!AD73)</f>
        <v>22.65</v>
      </c>
      <c r="N77" s="3">
        <f t="shared" si="7"/>
        <v>30.263500000000001</v>
      </c>
    </row>
    <row r="78" spans="1:14">
      <c r="D78" s="3" t="str">
        <f>IF(Telai!G74="","",ABS(Telai!G74))</f>
        <v/>
      </c>
      <c r="E78" s="3">
        <f>IF(D78="",E77,Telai!D74)</f>
        <v>22.65</v>
      </c>
      <c r="F78" s="3">
        <f t="shared" si="4"/>
        <v>28.849499999999999</v>
      </c>
      <c r="G78" s="3"/>
      <c r="H78" s="3" t="str">
        <f>IF(Telai!I74="","",ABS(Telai!I74))</f>
        <v/>
      </c>
      <c r="I78" s="3">
        <f>IF(H78="",I77,Telai!Q74)</f>
        <v>22.65</v>
      </c>
      <c r="J78" s="3">
        <f t="shared" si="5"/>
        <v>20.914000000000001</v>
      </c>
      <c r="K78" s="3"/>
      <c r="L78" s="3" t="str">
        <f t="shared" si="6"/>
        <v/>
      </c>
      <c r="M78" s="3">
        <f>IF(L78="",M77,Telai!AD74)</f>
        <v>22.65</v>
      </c>
      <c r="N78" s="3">
        <f t="shared" si="7"/>
        <v>30.263500000000001</v>
      </c>
    </row>
    <row r="79" spans="1:14">
      <c r="D79" s="3" t="str">
        <f>IF(Telai!G75="","",ABS(Telai!G75))</f>
        <v/>
      </c>
      <c r="E79" s="3">
        <f>IF(D79="",E78,Telai!D75)</f>
        <v>22.65</v>
      </c>
      <c r="F79" s="3">
        <f t="shared" si="4"/>
        <v>28.849499999999999</v>
      </c>
      <c r="G79" s="3"/>
      <c r="H79" s="3" t="str">
        <f>IF(Telai!I75="","",ABS(Telai!I75))</f>
        <v/>
      </c>
      <c r="I79" s="3">
        <f>IF(H79="",I78,Telai!Q75)</f>
        <v>22.65</v>
      </c>
      <c r="J79" s="3">
        <f t="shared" si="5"/>
        <v>20.914000000000001</v>
      </c>
      <c r="K79" s="3"/>
      <c r="L79" s="3" t="str">
        <f t="shared" si="6"/>
        <v/>
      </c>
      <c r="M79" s="3">
        <f>IF(L79="",M78,Telai!AD75)</f>
        <v>22.65</v>
      </c>
      <c r="N79" s="3">
        <f t="shared" si="7"/>
        <v>30.263500000000001</v>
      </c>
    </row>
    <row r="80" spans="1:14">
      <c r="D80" s="3" t="str">
        <f>IF(Telai!G76="","",ABS(Telai!G76))</f>
        <v/>
      </c>
      <c r="E80" s="3">
        <f>IF(D80="",E79,Telai!D76)</f>
        <v>22.65</v>
      </c>
      <c r="F80" s="3">
        <f t="shared" si="4"/>
        <v>28.849499999999999</v>
      </c>
      <c r="G80" s="3"/>
      <c r="H80" s="3" t="str">
        <f>IF(Telai!I76="","",ABS(Telai!I76))</f>
        <v/>
      </c>
      <c r="I80" s="3">
        <f>IF(H80="",I79,Telai!Q76)</f>
        <v>22.65</v>
      </c>
      <c r="J80" s="3">
        <f t="shared" si="5"/>
        <v>20.914000000000001</v>
      </c>
      <c r="K80" s="3"/>
      <c r="L80" s="3" t="str">
        <f t="shared" si="6"/>
        <v/>
      </c>
      <c r="M80" s="3">
        <f>IF(L80="",M79,Telai!AD76)</f>
        <v>22.65</v>
      </c>
      <c r="N80" s="3">
        <f t="shared" si="7"/>
        <v>30.263500000000001</v>
      </c>
    </row>
    <row r="81" spans="4:14">
      <c r="D81" s="3" t="str">
        <f>IF(Telai!G77="","",ABS(Telai!G77))</f>
        <v/>
      </c>
      <c r="E81" s="3">
        <f>IF(D81="",E80,Telai!D77)</f>
        <v>22.65</v>
      </c>
      <c r="F81" s="3">
        <f t="shared" si="4"/>
        <v>28.849499999999999</v>
      </c>
      <c r="G81" s="3"/>
      <c r="H81" s="3" t="str">
        <f>IF(Telai!I77="","",ABS(Telai!I77))</f>
        <v/>
      </c>
      <c r="I81" s="3">
        <f>IF(H81="",I80,Telai!Q77)</f>
        <v>22.65</v>
      </c>
      <c r="J81" s="3">
        <f t="shared" si="5"/>
        <v>20.914000000000001</v>
      </c>
      <c r="K81" s="3"/>
      <c r="L81" s="3" t="str">
        <f t="shared" si="6"/>
        <v/>
      </c>
      <c r="M81" s="3">
        <f>IF(L81="",M80,Telai!AD77)</f>
        <v>22.65</v>
      </c>
      <c r="N81" s="3">
        <f t="shared" si="7"/>
        <v>30.263500000000001</v>
      </c>
    </row>
    <row r="82" spans="4:14">
      <c r="D82" s="3" t="str">
        <f>IF(Telai!G78="","",ABS(Telai!G78))</f>
        <v/>
      </c>
      <c r="E82" s="3">
        <f>IF(D82="",E81,Telai!D78)</f>
        <v>22.65</v>
      </c>
      <c r="F82" s="3">
        <f t="shared" si="4"/>
        <v>28.849499999999999</v>
      </c>
      <c r="G82" s="3"/>
      <c r="H82" s="3" t="str">
        <f>IF(Telai!I78="","",ABS(Telai!I78))</f>
        <v/>
      </c>
      <c r="I82" s="3">
        <f>IF(H82="",I81,Telai!Q78)</f>
        <v>22.65</v>
      </c>
      <c r="J82" s="3">
        <f t="shared" si="5"/>
        <v>20.914000000000001</v>
      </c>
      <c r="K82" s="3"/>
      <c r="L82" s="3" t="str">
        <f t="shared" si="6"/>
        <v/>
      </c>
      <c r="M82" s="3">
        <f>IF(L82="",M81,Telai!AD78)</f>
        <v>22.65</v>
      </c>
      <c r="N82" s="3">
        <f t="shared" si="7"/>
        <v>30.263500000000001</v>
      </c>
    </row>
    <row r="83" spans="4:14">
      <c r="D83" s="3" t="str">
        <f>IF(Telai!G79="","",ABS(Telai!G79))</f>
        <v/>
      </c>
      <c r="E83" s="3">
        <f>IF(D83="",E82,Telai!D79)</f>
        <v>22.65</v>
      </c>
      <c r="F83" s="3">
        <f t="shared" si="4"/>
        <v>28.849499999999999</v>
      </c>
      <c r="G83" s="3"/>
      <c r="H83" s="3" t="str">
        <f>IF(Telai!I79="","",ABS(Telai!I79))</f>
        <v/>
      </c>
      <c r="I83" s="3">
        <f>IF(H83="",I82,Telai!Q79)</f>
        <v>22.65</v>
      </c>
      <c r="J83" s="3">
        <f t="shared" si="5"/>
        <v>20.914000000000001</v>
      </c>
      <c r="K83" s="3"/>
      <c r="L83" s="3" t="str">
        <f t="shared" si="6"/>
        <v/>
      </c>
      <c r="M83" s="3">
        <f>IF(L83="",M82,Telai!AD79)</f>
        <v>22.65</v>
      </c>
      <c r="N83" s="3">
        <f t="shared" si="7"/>
        <v>30.263500000000001</v>
      </c>
    </row>
    <row r="84" spans="4:14">
      <c r="D84" s="3" t="str">
        <f>IF(Telai!G80="","",ABS(Telai!G80))</f>
        <v/>
      </c>
      <c r="E84" s="3">
        <f>IF(D84="",E83,Telai!D80)</f>
        <v>22.65</v>
      </c>
      <c r="F84" s="3">
        <f t="shared" si="4"/>
        <v>28.849499999999999</v>
      </c>
      <c r="G84" s="3"/>
      <c r="H84" s="3" t="str">
        <f>IF(Telai!I80="","",ABS(Telai!I80))</f>
        <v/>
      </c>
      <c r="I84" s="3">
        <f>IF(H84="",I83,Telai!Q80)</f>
        <v>22.65</v>
      </c>
      <c r="J84" s="3">
        <f t="shared" si="5"/>
        <v>20.914000000000001</v>
      </c>
      <c r="K84" s="3"/>
      <c r="L84" s="3" t="str">
        <f t="shared" si="6"/>
        <v/>
      </c>
      <c r="M84" s="3">
        <f>IF(L84="",M83,Telai!AD80)</f>
        <v>22.65</v>
      </c>
      <c r="N84" s="3">
        <f t="shared" si="7"/>
        <v>30.263500000000001</v>
      </c>
    </row>
    <row r="85" spans="4:14">
      <c r="D85" s="47"/>
      <c r="E85" s="47"/>
      <c r="F85" s="47"/>
      <c r="H85" s="47"/>
      <c r="I85" s="47"/>
      <c r="J85" s="47"/>
      <c r="L85" s="47"/>
      <c r="M85" s="47"/>
      <c r="N85" s="47"/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Spiegazioni</vt:lpstr>
      <vt:lpstr>SPI</vt:lpstr>
      <vt:lpstr>SPO</vt:lpstr>
      <vt:lpstr>Dati</vt:lpstr>
      <vt:lpstr>Modi</vt:lpstr>
      <vt:lpstr>Invil.mod.x</vt:lpstr>
      <vt:lpstr>Invil.mod.y</vt:lpstr>
      <vt:lpstr>Fx+M(Fx)</vt:lpstr>
      <vt:lpstr>Fy+M(Fy)</vt:lpstr>
      <vt:lpstr>Prev.x</vt:lpstr>
      <vt:lpstr>Prev.y</vt:lpstr>
      <vt:lpstr>Elab-Modi</vt:lpstr>
      <vt:lpstr>Elab</vt:lpstr>
      <vt:lpstr>Telai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2009-01-21T15:28:49Z</dcterms:created>
  <dcterms:modified xsi:type="dcterms:W3CDTF">2017-09-04T10:00:48Z</dcterms:modified>
</cp:coreProperties>
</file>